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trlProps/ctrlProp3.xml" ContentType="application/vnd.ms-excel.controlpropertie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00"/>
  </bookViews>
  <sheets>
    <sheet name="Individual banks" sheetId="7" r:id="rId1"/>
    <sheet name="Comparison with group" sheetId="11" r:id="rId2"/>
    <sheet name="Comparison of banks" sheetId="14" r:id="rId3"/>
    <sheet name="Capital need" sheetId="15" r:id="rId4"/>
    <sheet name="Data table" sheetId="6" r:id="rId5"/>
    <sheet name="ST results (eng)" sheetId="3" state="hidden" r:id="rId6"/>
    <sheet name="List" sheetId="1" state="hidden" r:id="rId7"/>
  </sheets>
  <definedNames>
    <definedName name="_xlnm._FilterDatabase" localSheetId="4" hidden="1">'Data table'!$A$9:$AX$9</definedName>
    <definedName name="_xlnm.Print_Titles" localSheetId="5">'ST results (eng)'!$E:$E</definedName>
    <definedName name="_xlnm.Print_Area" localSheetId="5">'ST results (eng)'!$E$12:$AR$44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7" i="15" l="1"/>
  <c r="A39" i="6"/>
  <c r="AX7" i="6" l="1"/>
  <c r="J1" i="7" l="1"/>
  <c r="N12" i="7"/>
  <c r="K1" i="7" l="1"/>
  <c r="B34" i="7"/>
  <c r="B11" i="7"/>
  <c r="B33" i="7"/>
  <c r="B12" i="7"/>
  <c r="C16" i="7"/>
  <c r="N1" i="15"/>
  <c r="R1" i="14"/>
  <c r="B14" i="7"/>
  <c r="B13" i="7"/>
  <c r="B2" i="7"/>
  <c r="O5" i="11"/>
  <c r="H4" i="7"/>
  <c r="E4" i="7"/>
  <c r="D4" i="7"/>
  <c r="B8" i="11" s="1"/>
  <c r="C4" i="7"/>
  <c r="B7" i="11" s="1"/>
  <c r="B4" i="7"/>
  <c r="J1" i="6"/>
  <c r="O1" i="11"/>
  <c r="B2" i="15" l="1"/>
  <c r="A36" i="6"/>
  <c r="B2" i="14"/>
  <c r="G19" i="14"/>
  <c r="K19" i="14"/>
  <c r="C19" i="14"/>
  <c r="O19" i="14"/>
  <c r="C13" i="11"/>
  <c r="C12" i="14" s="1"/>
  <c r="C20" i="11"/>
  <c r="B38" i="11"/>
  <c r="B39" i="11"/>
  <c r="H20" i="11"/>
  <c r="G6" i="6"/>
  <c r="H6" i="6"/>
  <c r="F5" i="14" s="1"/>
  <c r="J5" i="14" s="1"/>
  <c r="N5" i="14" s="1"/>
  <c r="R5" i="14" s="1"/>
  <c r="E6" i="6"/>
  <c r="C5" i="14" s="1"/>
  <c r="G5" i="14" s="1"/>
  <c r="K5" i="14" s="1"/>
  <c r="O5" i="14" s="1"/>
  <c r="A37" i="6"/>
  <c r="A35" i="6"/>
  <c r="C17" i="6"/>
  <c r="D4" i="6"/>
  <c r="AE4" i="6"/>
  <c r="P4" i="6"/>
  <c r="B25" i="15"/>
  <c r="D6" i="15"/>
  <c r="E8" i="15"/>
  <c r="B4" i="14"/>
  <c r="B17" i="14"/>
  <c r="B5" i="15"/>
  <c r="C5" i="15"/>
  <c r="E9" i="15"/>
  <c r="B16" i="14"/>
  <c r="B6" i="14"/>
  <c r="C6" i="15"/>
  <c r="E6" i="15"/>
  <c r="N4" i="15"/>
  <c r="B2" i="11"/>
  <c r="B7" i="14"/>
  <c r="D8" i="15"/>
  <c r="E7" i="15"/>
  <c r="N3" i="15"/>
  <c r="B18" i="11"/>
  <c r="B9" i="11"/>
  <c r="B8" i="14" s="1"/>
  <c r="B12" i="14" s="1"/>
  <c r="C9" i="11"/>
  <c r="C8" i="14" s="1"/>
  <c r="B13" i="11"/>
  <c r="B17" i="11"/>
  <c r="B5" i="11"/>
  <c r="G5" i="11"/>
  <c r="C23" i="6"/>
  <c r="J22" i="6"/>
  <c r="D19" i="6"/>
  <c r="D14" i="6"/>
  <c r="C26" i="6"/>
  <c r="D33" i="6"/>
  <c r="J10" i="6"/>
  <c r="C30" i="6"/>
  <c r="D18" i="6"/>
  <c r="J30" i="6"/>
  <c r="C19" i="6"/>
  <c r="D10" i="6"/>
  <c r="D32" i="6"/>
  <c r="J26" i="6"/>
  <c r="J18" i="6"/>
  <c r="J14" i="6"/>
  <c r="C20" i="6"/>
  <c r="C27" i="6"/>
  <c r="D12" i="6"/>
  <c r="D11" i="6"/>
  <c r="D30" i="6"/>
  <c r="J33" i="6"/>
  <c r="J29" i="6"/>
  <c r="J21" i="6"/>
  <c r="J17" i="6"/>
  <c r="J13" i="6"/>
  <c r="B2" i="6"/>
  <c r="C16" i="6"/>
  <c r="C22" i="6"/>
  <c r="C18" i="6"/>
  <c r="C28" i="6"/>
  <c r="C32" i="6"/>
  <c r="D13" i="6"/>
  <c r="D26" i="6"/>
  <c r="D15" i="6"/>
  <c r="D24" i="6"/>
  <c r="D28" i="6"/>
  <c r="D23" i="6"/>
  <c r="J32" i="6"/>
  <c r="J28" i="6"/>
  <c r="J24" i="6"/>
  <c r="J20" i="6"/>
  <c r="J16" i="6"/>
  <c r="J12" i="6"/>
  <c r="C24" i="6"/>
  <c r="C31" i="6"/>
  <c r="D22" i="6"/>
  <c r="D20" i="6"/>
  <c r="D31" i="6"/>
  <c r="J25" i="6"/>
  <c r="C21" i="6"/>
  <c r="C25" i="6"/>
  <c r="C29" i="6"/>
  <c r="C33" i="6"/>
  <c r="D16" i="6"/>
  <c r="D29" i="6"/>
  <c r="D17" i="6"/>
  <c r="D27" i="6"/>
  <c r="D25" i="6"/>
  <c r="D21" i="6"/>
  <c r="J31" i="6"/>
  <c r="J27" i="6"/>
  <c r="J23" i="6"/>
  <c r="J19" i="6"/>
  <c r="J15" i="6"/>
  <c r="J11" i="6"/>
  <c r="AV14" i="6"/>
  <c r="AX14" i="6"/>
  <c r="C12" i="6"/>
  <c r="C13" i="6"/>
  <c r="C10" i="6"/>
  <c r="C14" i="6"/>
  <c r="C11" i="6"/>
  <c r="C15" i="6"/>
  <c r="J6" i="6"/>
  <c r="V8" i="6"/>
  <c r="AK8" i="6"/>
  <c r="R7" i="6"/>
  <c r="B11" i="14" s="1"/>
  <c r="B15" i="14" s="1"/>
  <c r="V7" i="6"/>
  <c r="Z7" i="6"/>
  <c r="AG7" i="6"/>
  <c r="AK7" i="6"/>
  <c r="AO7" i="6"/>
  <c r="AU5" i="6"/>
  <c r="J4" i="6"/>
  <c r="S8" i="6"/>
  <c r="Q7" i="6"/>
  <c r="B10" i="14" s="1"/>
  <c r="B14" i="14" s="1"/>
  <c r="Y7" i="6"/>
  <c r="AJ7" i="6"/>
  <c r="AT5" i="6"/>
  <c r="E4" i="6"/>
  <c r="J7" i="6"/>
  <c r="Y8" i="6"/>
  <c r="AN8" i="6"/>
  <c r="S7" i="6"/>
  <c r="W7" i="6"/>
  <c r="AA7" i="6"/>
  <c r="AH7" i="6"/>
  <c r="AL7" i="6"/>
  <c r="AP7" i="6"/>
  <c r="AU6" i="6"/>
  <c r="AV7" i="6"/>
  <c r="F6" i="6"/>
  <c r="AH8" i="6"/>
  <c r="U7" i="6"/>
  <c r="AF7" i="6"/>
  <c r="AN7" i="6"/>
  <c r="AU7" i="6"/>
  <c r="E7" i="6"/>
  <c r="P8" i="6"/>
  <c r="E6" i="7" s="1"/>
  <c r="H6" i="7" s="1"/>
  <c r="AE8" i="6"/>
  <c r="P7" i="6"/>
  <c r="B9" i="14" s="1"/>
  <c r="B13" i="14" s="1"/>
  <c r="T7" i="6"/>
  <c r="X7" i="6"/>
  <c r="AE7" i="6"/>
  <c r="AI7" i="6"/>
  <c r="AM7" i="6"/>
  <c r="AT4" i="6"/>
  <c r="AW6" i="6"/>
  <c r="AW7" i="6"/>
  <c r="A4" i="6"/>
  <c r="C4" i="6"/>
  <c r="O14" i="11"/>
  <c r="O15" i="11"/>
  <c r="O16" i="11"/>
  <c r="N6" i="6" l="1"/>
  <c r="Y6" i="6"/>
  <c r="AN6" i="6" s="1"/>
  <c r="D5" i="14"/>
  <c r="H5" i="14" s="1"/>
  <c r="L5" i="14" s="1"/>
  <c r="P5" i="14" s="1"/>
  <c r="L6" i="6"/>
  <c r="S6" i="6"/>
  <c r="AH6" i="6" s="1"/>
  <c r="E5" i="14"/>
  <c r="I5" i="14" s="1"/>
  <c r="M5" i="14" s="1"/>
  <c r="Q5" i="14" s="1"/>
  <c r="M6" i="6"/>
  <c r="V6" i="6" s="1"/>
  <c r="AK6" i="6" s="1"/>
  <c r="P6" i="6"/>
  <c r="AE6" i="6" s="1"/>
  <c r="K6" i="6"/>
  <c r="E5" i="7"/>
  <c r="H5" i="7" s="1"/>
  <c r="B10" i="11"/>
  <c r="B14" i="11" s="1"/>
  <c r="B9" i="7"/>
  <c r="E6" i="11"/>
  <c r="I6" i="11" s="1"/>
  <c r="M6" i="11" s="1"/>
  <c r="B10" i="7"/>
  <c r="F6" i="11"/>
  <c r="J6" i="11" s="1"/>
  <c r="N6" i="11" s="1"/>
  <c r="G5" i="7"/>
  <c r="J5" i="7" s="1"/>
  <c r="B12" i="11"/>
  <c r="B16" i="11" s="1"/>
  <c r="B7" i="7"/>
  <c r="C6" i="11"/>
  <c r="G6" i="11" s="1"/>
  <c r="K6" i="11" s="1"/>
  <c r="B8" i="7"/>
  <c r="D6" i="11"/>
  <c r="H6" i="11" s="1"/>
  <c r="L6" i="11" s="1"/>
  <c r="F5" i="7"/>
  <c r="I5" i="7" s="1"/>
  <c r="B11" i="11"/>
  <c r="B15" i="11" s="1"/>
  <c r="I23" i="6"/>
  <c r="I29" i="6"/>
  <c r="I18" i="6"/>
  <c r="AQ27" i="6"/>
  <c r="AR27" i="6"/>
  <c r="AS27" i="6"/>
  <c r="AQ14" i="6"/>
  <c r="AR14" i="6"/>
  <c r="AS14" i="6"/>
  <c r="AQ23" i="6"/>
  <c r="AR23" i="6"/>
  <c r="AS23" i="6"/>
  <c r="AQ29" i="6"/>
  <c r="AR29" i="6"/>
  <c r="AS29" i="6"/>
  <c r="AQ18" i="6"/>
  <c r="AR18" i="6"/>
  <c r="AS18" i="6"/>
  <c r="AQ10" i="6"/>
  <c r="AR10" i="6"/>
  <c r="AS10" i="6"/>
  <c r="I27" i="6"/>
  <c r="I14" i="6"/>
  <c r="I10" i="6"/>
  <c r="I22" i="6"/>
  <c r="I26" i="6"/>
  <c r="AB14" i="6"/>
  <c r="AC14" i="6"/>
  <c r="AD14" i="6"/>
  <c r="O14" i="6"/>
  <c r="H4" i="14" l="1"/>
  <c r="L4" i="14"/>
  <c r="P4" i="14"/>
  <c r="D4" i="14"/>
  <c r="D2" i="7"/>
  <c r="M4" i="15" l="1"/>
  <c r="L11" i="15" s="1"/>
  <c r="K4" i="15"/>
  <c r="H11" i="15" s="1"/>
  <c r="I4" i="15"/>
  <c r="E11" i="15" s="1"/>
  <c r="G4" i="15"/>
  <c r="C11" i="15" s="1"/>
  <c r="I2" i="11"/>
  <c r="C5" i="11" s="1"/>
  <c r="C7" i="7"/>
  <c r="C11" i="7" l="1"/>
  <c r="H7" i="15"/>
  <c r="G16" i="7"/>
  <c r="L5" i="15" l="1"/>
  <c r="H6" i="15"/>
  <c r="J6" i="15"/>
  <c r="L6" i="15"/>
  <c r="J7" i="15"/>
  <c r="L7" i="15"/>
  <c r="H8" i="15"/>
  <c r="J8" i="15"/>
  <c r="L8" i="15"/>
  <c r="H9" i="15"/>
  <c r="J9" i="15"/>
  <c r="L9" i="15"/>
  <c r="F6" i="15"/>
  <c r="F8" i="15"/>
  <c r="J5" i="15"/>
  <c r="H5" i="15"/>
  <c r="F5" i="15"/>
  <c r="R15" i="14"/>
  <c r="Q15" i="14"/>
  <c r="P15" i="14"/>
  <c r="O15" i="14"/>
  <c r="R14" i="14"/>
  <c r="Q14" i="14"/>
  <c r="P14" i="14"/>
  <c r="O14" i="14"/>
  <c r="R13" i="14"/>
  <c r="Q13" i="14"/>
  <c r="P13" i="14"/>
  <c r="O13" i="14"/>
  <c r="R11" i="14"/>
  <c r="Q11" i="14"/>
  <c r="P11" i="14"/>
  <c r="O11" i="14"/>
  <c r="R10" i="14"/>
  <c r="Q10" i="14"/>
  <c r="P10" i="14"/>
  <c r="O10" i="14"/>
  <c r="R9" i="14"/>
  <c r="Q9" i="14"/>
  <c r="P9" i="14"/>
  <c r="O9" i="14"/>
  <c r="R7" i="14"/>
  <c r="Q7" i="14"/>
  <c r="P7" i="14"/>
  <c r="O7" i="14"/>
  <c r="R6" i="14"/>
  <c r="Q6" i="14"/>
  <c r="P6" i="14"/>
  <c r="O6" i="14"/>
  <c r="N15" i="14"/>
  <c r="M15" i="14"/>
  <c r="L15" i="14"/>
  <c r="K15" i="14"/>
  <c r="N14" i="14"/>
  <c r="M14" i="14"/>
  <c r="L14" i="14"/>
  <c r="K14" i="14"/>
  <c r="N13" i="14"/>
  <c r="M13" i="14"/>
  <c r="L13" i="14"/>
  <c r="K13" i="14"/>
  <c r="N11" i="14"/>
  <c r="M11" i="14"/>
  <c r="L11" i="14"/>
  <c r="K11" i="14"/>
  <c r="N10" i="14"/>
  <c r="M10" i="14"/>
  <c r="L10" i="14"/>
  <c r="K10" i="14"/>
  <c r="N9" i="14"/>
  <c r="M9" i="14"/>
  <c r="L9" i="14"/>
  <c r="K9" i="14"/>
  <c r="N7" i="14"/>
  <c r="M7" i="14"/>
  <c r="L7" i="14"/>
  <c r="K7" i="14"/>
  <c r="N6" i="14"/>
  <c r="M6" i="14"/>
  <c r="L6" i="14"/>
  <c r="K6" i="14"/>
  <c r="J15" i="14"/>
  <c r="I15" i="14"/>
  <c r="H15" i="14"/>
  <c r="G15" i="14"/>
  <c r="J14" i="14"/>
  <c r="I14" i="14"/>
  <c r="H14" i="14"/>
  <c r="G14" i="14"/>
  <c r="J13" i="14"/>
  <c r="I13" i="14"/>
  <c r="H13" i="14"/>
  <c r="G13" i="14"/>
  <c r="J11" i="14"/>
  <c r="I11" i="14"/>
  <c r="H11" i="14"/>
  <c r="G11" i="14"/>
  <c r="J10" i="14"/>
  <c r="I10" i="14"/>
  <c r="H10" i="14"/>
  <c r="G10" i="14"/>
  <c r="J9" i="14"/>
  <c r="I9" i="14"/>
  <c r="H9" i="14"/>
  <c r="G9" i="14"/>
  <c r="J7" i="14"/>
  <c r="I7" i="14"/>
  <c r="H7" i="14"/>
  <c r="G7" i="14"/>
  <c r="J6" i="14"/>
  <c r="I6" i="14"/>
  <c r="H6" i="14"/>
  <c r="G6" i="14"/>
  <c r="F15" i="14"/>
  <c r="E15" i="14"/>
  <c r="D15" i="14"/>
  <c r="C15" i="14"/>
  <c r="F14" i="14"/>
  <c r="E14" i="14"/>
  <c r="D14" i="14"/>
  <c r="C14" i="14"/>
  <c r="F13" i="14"/>
  <c r="E13" i="14"/>
  <c r="D13" i="14"/>
  <c r="C13" i="14"/>
  <c r="F11" i="14"/>
  <c r="E11" i="14"/>
  <c r="D11" i="14"/>
  <c r="C11" i="14"/>
  <c r="F10" i="14"/>
  <c r="E10" i="14"/>
  <c r="D10" i="14"/>
  <c r="C10" i="14"/>
  <c r="F9" i="14"/>
  <c r="E9" i="14"/>
  <c r="D9" i="14"/>
  <c r="C9" i="14"/>
  <c r="F7" i="14"/>
  <c r="E7" i="14"/>
  <c r="D7" i="14"/>
  <c r="C7" i="14"/>
  <c r="F6" i="14"/>
  <c r="E6" i="14"/>
  <c r="D6" i="14"/>
  <c r="C6" i="14"/>
  <c r="K5" i="11"/>
  <c r="F16" i="11"/>
  <c r="E16" i="11"/>
  <c r="D16" i="11"/>
  <c r="C16" i="11"/>
  <c r="F15" i="11"/>
  <c r="E15" i="11"/>
  <c r="D15" i="11"/>
  <c r="C15" i="11"/>
  <c r="F14" i="11"/>
  <c r="E14" i="11"/>
  <c r="D14" i="11"/>
  <c r="C14" i="11"/>
  <c r="F12" i="11"/>
  <c r="E12" i="11"/>
  <c r="D12" i="11"/>
  <c r="C12" i="11"/>
  <c r="F11" i="11"/>
  <c r="E11" i="11"/>
  <c r="D11" i="11"/>
  <c r="C11" i="11"/>
  <c r="F10" i="11"/>
  <c r="E10" i="11"/>
  <c r="D10" i="11"/>
  <c r="C10" i="11"/>
  <c r="F8" i="11"/>
  <c r="E8" i="11"/>
  <c r="D8" i="11"/>
  <c r="C8" i="11"/>
  <c r="F7" i="11"/>
  <c r="E7" i="11"/>
  <c r="D7" i="11"/>
  <c r="C7" i="11"/>
  <c r="J10" i="7"/>
  <c r="I10" i="7"/>
  <c r="H10" i="7"/>
  <c r="G10" i="7"/>
  <c r="F10" i="7"/>
  <c r="E10" i="7"/>
  <c r="J9" i="7"/>
  <c r="I9" i="7"/>
  <c r="H9" i="7"/>
  <c r="G9" i="7"/>
  <c r="F9" i="7"/>
  <c r="E9" i="7"/>
  <c r="J8" i="7"/>
  <c r="I8" i="7"/>
  <c r="H8" i="7"/>
  <c r="G8" i="7"/>
  <c r="F8" i="7"/>
  <c r="E8" i="7"/>
  <c r="J7" i="7"/>
  <c r="I7" i="7"/>
  <c r="H7" i="7"/>
  <c r="G7" i="7"/>
  <c r="F7" i="7"/>
  <c r="E7" i="7"/>
  <c r="D10" i="7"/>
  <c r="C10" i="7"/>
  <c r="D9" i="7"/>
  <c r="C9" i="7"/>
  <c r="D8" i="7"/>
  <c r="D7" i="7"/>
  <c r="C8" i="7"/>
  <c r="C12" i="7" l="1"/>
  <c r="J11" i="7"/>
  <c r="I11" i="7"/>
  <c r="H11" i="7"/>
  <c r="G11" i="7"/>
  <c r="F11" i="7"/>
  <c r="E11" i="7"/>
  <c r="D11" i="7"/>
  <c r="D12" i="7"/>
  <c r="F12" i="7"/>
  <c r="J12" i="7"/>
  <c r="G12" i="7"/>
  <c r="H12" i="7"/>
  <c r="E12" i="7"/>
  <c r="I12" i="7"/>
  <c r="F7" i="15"/>
  <c r="F9" i="15"/>
  <c r="I31" i="6" l="1"/>
  <c r="N9" i="15" l="1"/>
  <c r="N8" i="15"/>
  <c r="N7" i="15"/>
  <c r="N6" i="15"/>
  <c r="N5" i="15"/>
  <c r="L7" i="11"/>
  <c r="L12" i="11" l="1"/>
  <c r="K14" i="11"/>
  <c r="K15" i="11"/>
  <c r="K11" i="11"/>
  <c r="L14" i="11"/>
  <c r="K12" i="11"/>
  <c r="K16" i="11"/>
  <c r="L10" i="11"/>
  <c r="L15" i="11"/>
  <c r="K8" i="11"/>
  <c r="K10" i="11"/>
  <c r="L11" i="11"/>
  <c r="L16" i="11"/>
  <c r="L8" i="11"/>
  <c r="K7" i="11"/>
  <c r="H16" i="11" l="1"/>
  <c r="H15" i="11"/>
  <c r="H14" i="11"/>
  <c r="G16" i="11"/>
  <c r="G15" i="11"/>
  <c r="G14" i="11"/>
  <c r="H12" i="11"/>
  <c r="H11" i="11"/>
  <c r="H10" i="11"/>
  <c r="G11" i="11"/>
  <c r="G12" i="11"/>
  <c r="G10" i="11"/>
  <c r="H8" i="11"/>
  <c r="G8" i="11"/>
  <c r="H7" i="11"/>
  <c r="G7" i="11"/>
  <c r="AQ25" i="6"/>
  <c r="AR25" i="6"/>
  <c r="AS25" i="6"/>
  <c r="AQ21" i="6"/>
  <c r="AR21" i="6"/>
  <c r="AS21" i="6"/>
  <c r="AQ22" i="6"/>
  <c r="AR22" i="6"/>
  <c r="AS22" i="6"/>
  <c r="AQ26" i="6"/>
  <c r="AR26" i="6"/>
  <c r="AS26" i="6"/>
  <c r="AQ19" i="6"/>
  <c r="AR19" i="6"/>
  <c r="AS19" i="6"/>
  <c r="AQ32" i="6"/>
  <c r="AR32" i="6"/>
  <c r="AS32" i="6"/>
  <c r="AQ15" i="6"/>
  <c r="AR15" i="6"/>
  <c r="AS15" i="6"/>
  <c r="AQ17" i="6"/>
  <c r="AR17" i="6"/>
  <c r="AS17" i="6"/>
  <c r="AQ33" i="6"/>
  <c r="AR33" i="6"/>
  <c r="AS33" i="6"/>
  <c r="AQ16" i="6"/>
  <c r="AR16" i="6"/>
  <c r="AS16" i="6"/>
  <c r="AQ11" i="6"/>
  <c r="AR11" i="6"/>
  <c r="AS11" i="6"/>
  <c r="AQ30" i="6"/>
  <c r="AR30" i="6"/>
  <c r="AS30" i="6"/>
  <c r="AQ20" i="6"/>
  <c r="AR20" i="6"/>
  <c r="AS20" i="6"/>
  <c r="AQ24" i="6"/>
  <c r="AR24" i="6"/>
  <c r="AS24" i="6"/>
  <c r="AQ28" i="6"/>
  <c r="AR28" i="6"/>
  <c r="AS28" i="6"/>
  <c r="AQ13" i="6"/>
  <c r="AR13" i="6"/>
  <c r="AS13" i="6"/>
  <c r="AQ12" i="6"/>
  <c r="AR12" i="6"/>
  <c r="AS12" i="6"/>
  <c r="AS31" i="6"/>
  <c r="AR31" i="6"/>
  <c r="AQ31" i="6"/>
  <c r="AB25" i="6"/>
  <c r="AC25" i="6"/>
  <c r="AD25" i="6"/>
  <c r="AB21" i="6"/>
  <c r="AC21" i="6"/>
  <c r="AD21" i="6"/>
  <c r="AB27" i="6"/>
  <c r="AC27" i="6"/>
  <c r="AD27" i="6"/>
  <c r="AB23" i="6"/>
  <c r="AC23" i="6"/>
  <c r="AD23" i="6"/>
  <c r="AB29" i="6"/>
  <c r="AC29" i="6"/>
  <c r="AD29" i="6"/>
  <c r="AB18" i="6"/>
  <c r="AC18" i="6"/>
  <c r="AD18" i="6"/>
  <c r="AB10" i="6"/>
  <c r="AC10" i="6"/>
  <c r="AD10" i="6"/>
  <c r="AB22" i="6"/>
  <c r="AC22" i="6"/>
  <c r="AD22" i="6"/>
  <c r="AB26" i="6"/>
  <c r="AC26" i="6"/>
  <c r="AD26" i="6"/>
  <c r="AB19" i="6"/>
  <c r="AC19" i="6"/>
  <c r="AD19" i="6"/>
  <c r="AB32" i="6"/>
  <c r="AC32" i="6"/>
  <c r="AD32" i="6"/>
  <c r="AB15" i="6"/>
  <c r="AC15" i="6"/>
  <c r="AD15" i="6"/>
  <c r="AB17" i="6"/>
  <c r="AC17" i="6"/>
  <c r="AD17" i="6"/>
  <c r="AB33" i="6"/>
  <c r="AC33" i="6"/>
  <c r="AD33" i="6"/>
  <c r="AB16" i="6"/>
  <c r="AC16" i="6"/>
  <c r="AD16" i="6"/>
  <c r="AB11" i="6"/>
  <c r="AC11" i="6"/>
  <c r="AD11" i="6"/>
  <c r="AB30" i="6"/>
  <c r="AC30" i="6"/>
  <c r="AD30" i="6"/>
  <c r="AB20" i="6"/>
  <c r="AC20" i="6"/>
  <c r="AD20" i="6"/>
  <c r="AB24" i="6"/>
  <c r="AC24" i="6"/>
  <c r="AD24" i="6"/>
  <c r="AB28" i="6"/>
  <c r="AC28" i="6"/>
  <c r="AD28" i="6"/>
  <c r="AB13" i="6"/>
  <c r="AC13" i="6"/>
  <c r="AD13" i="6"/>
  <c r="AB12" i="6"/>
  <c r="AC12" i="6"/>
  <c r="AD12" i="6"/>
  <c r="AC31" i="6"/>
  <c r="AD31" i="6"/>
  <c r="AB31" i="6"/>
  <c r="O25" i="6"/>
  <c r="O21" i="6"/>
  <c r="O27" i="6"/>
  <c r="O23" i="6"/>
  <c r="O29" i="6"/>
  <c r="O18" i="6"/>
  <c r="O10" i="6"/>
  <c r="O22" i="6"/>
  <c r="O26" i="6"/>
  <c r="O19" i="6"/>
  <c r="O32" i="6"/>
  <c r="O15" i="6"/>
  <c r="O17" i="6"/>
  <c r="O33" i="6"/>
  <c r="O16" i="6"/>
  <c r="O11" i="6"/>
  <c r="O30" i="6"/>
  <c r="O20" i="6"/>
  <c r="O24" i="6"/>
  <c r="O28" i="6"/>
  <c r="O13" i="6"/>
  <c r="O12" i="6"/>
  <c r="O31" i="6"/>
  <c r="I25" i="6"/>
  <c r="I21" i="6"/>
  <c r="I19" i="6"/>
  <c r="I32" i="6"/>
  <c r="I15" i="6"/>
  <c r="I17" i="6"/>
  <c r="I33" i="6"/>
  <c r="I16" i="6"/>
  <c r="I11" i="6"/>
  <c r="I30" i="6"/>
  <c r="I20" i="6"/>
  <c r="I24" i="6"/>
  <c r="I28" i="6"/>
  <c r="I13" i="6"/>
  <c r="I12" i="6"/>
  <c r="N12" i="11" l="1"/>
  <c r="M16" i="11"/>
  <c r="M8" i="11"/>
  <c r="N11" i="11"/>
  <c r="N8" i="11"/>
  <c r="M10" i="11"/>
  <c r="N14" i="11"/>
  <c r="N7" i="11"/>
  <c r="M15" i="11"/>
  <c r="N15" i="11"/>
  <c r="J12" i="11"/>
  <c r="I14" i="11"/>
  <c r="M14" i="11"/>
  <c r="M12" i="11"/>
  <c r="J8" i="11"/>
  <c r="J11" i="11"/>
  <c r="J14" i="11"/>
  <c r="I15" i="11"/>
  <c r="N16" i="11"/>
  <c r="M11" i="11"/>
  <c r="J7" i="11"/>
  <c r="I11" i="11"/>
  <c r="N10" i="11"/>
  <c r="I7" i="11"/>
  <c r="I12" i="11"/>
  <c r="M7" i="11"/>
  <c r="I8" i="11"/>
  <c r="I10" i="11"/>
  <c r="J15" i="11"/>
  <c r="I16" i="11"/>
  <c r="J10" i="11"/>
  <c r="J16" i="11"/>
</calcChain>
</file>

<file path=xl/comments1.xml><?xml version="1.0" encoding="utf-8"?>
<comments xmlns="http://schemas.openxmlformats.org/spreadsheetml/2006/main">
  <authors>
    <author>Автор</author>
  </authors>
  <commentList>
    <comment ref="AM25" authorId="0" shapeId="0">
      <text>
        <r>
          <rPr>
            <b/>
            <sz val="9"/>
            <color indexed="81"/>
            <rFont val="Tahoma"/>
            <family val="2"/>
            <charset val="204"/>
          </rPr>
          <t>Автор:</t>
        </r>
        <r>
          <rPr>
            <sz val="9"/>
            <color indexed="81"/>
            <rFont val="Tahoma"/>
            <family val="2"/>
            <charset val="204"/>
          </rPr>
          <t xml:space="preserve">
Нестача в капіталі у зв'язку з невиконанням Н3, який буде діяти з 01.01.2019. Докапіталізація не потрібна</t>
        </r>
      </text>
    </comment>
  </commentList>
</comments>
</file>

<file path=xl/sharedStrings.xml><?xml version="1.0" encoding="utf-8"?>
<sst xmlns="http://schemas.openxmlformats.org/spreadsheetml/2006/main" count="227" uniqueCount="125">
  <si>
    <t>Група</t>
  </si>
  <si>
    <t>Розгляд комітетом</t>
  </si>
  <si>
    <t>Розгляд та затвердження результатів оцінки стійкості банків Правлінням НБУ</t>
  </si>
  <si>
    <t>Назва банку</t>
  </si>
  <si>
    <t>Відповідальні Бал. модель</t>
  </si>
  <si>
    <t>Ідея</t>
  </si>
  <si>
    <t>Фецич</t>
  </si>
  <si>
    <t>КРЕДІ АГРІКОЛЬ</t>
  </si>
  <si>
    <t>Волошин</t>
  </si>
  <si>
    <t>ОТП</t>
  </si>
  <si>
    <t>Борищук</t>
  </si>
  <si>
    <t>Райффайзен</t>
  </si>
  <si>
    <t>Тарнавський+Дадашова</t>
  </si>
  <si>
    <t>УкрСиб</t>
  </si>
  <si>
    <t>Дробязгін</t>
  </si>
  <si>
    <t>ВОСТОК</t>
  </si>
  <si>
    <t>Задерей</t>
  </si>
  <si>
    <t>ТАС</t>
  </si>
  <si>
    <t>Південний</t>
  </si>
  <si>
    <t>Панга</t>
  </si>
  <si>
    <t>КРЕДО</t>
  </si>
  <si>
    <t>СБЕР</t>
  </si>
  <si>
    <t>Плахота</t>
  </si>
  <si>
    <t>ПРОКРЕДИТ</t>
  </si>
  <si>
    <t>А</t>
  </si>
  <si>
    <t>БІЗ</t>
  </si>
  <si>
    <t>Гвоздєва</t>
  </si>
  <si>
    <t>Промінвест</t>
  </si>
  <si>
    <t>ВТБ</t>
  </si>
  <si>
    <t>ПУМБ</t>
  </si>
  <si>
    <t>УНІВЕРСАЛ</t>
  </si>
  <si>
    <t>КРЕДИТ ДНІПРО</t>
  </si>
  <si>
    <t>МЕГА</t>
  </si>
  <si>
    <t>АЛЬФА</t>
  </si>
  <si>
    <t>УКРГАЗ</t>
  </si>
  <si>
    <t>Укрексім</t>
  </si>
  <si>
    <t>ПРИВАТ</t>
  </si>
  <si>
    <t>ОЩАД</t>
  </si>
  <si>
    <t>Вишневський</t>
  </si>
  <si>
    <t>Додаток 6</t>
  </si>
  <si>
    <t>до Технічного завдання для здійснення оцінки стійкості банків та банківської системи України</t>
  </si>
  <si>
    <t>(пункт 56 розділу XII)</t>
  </si>
  <si>
    <t>Формат публікації результатів оцінки стійкості банків і банківської системи України</t>
  </si>
  <si>
    <t>Таблиця 1</t>
  </si>
  <si>
    <t xml:space="preserve">Результати оцінки стійкості банків, які проходили оцінку за трьома етапами </t>
  </si>
  <si>
    <t xml:space="preserve">(тис. грн, %) </t>
  </si>
  <si>
    <t>Дані банку</t>
  </si>
  <si>
    <t>За базовим макроекономічним сценарієм</t>
  </si>
  <si>
    <t>За несприятливим макроекономічним сценарієм</t>
  </si>
  <si>
    <t xml:space="preserve">Заходи, здійснені банком після звітної дати </t>
  </si>
  <si>
    <t>ОК</t>
  </si>
  <si>
    <t>РК</t>
  </si>
  <si>
    <t>Н2</t>
  </si>
  <si>
    <t>Н3</t>
  </si>
  <si>
    <t>проведення екстрапо-ляції  (так/ні)</t>
  </si>
  <si>
    <t>зі збільшення капіталу</t>
  </si>
  <si>
    <t>інші заходи</t>
  </si>
  <si>
    <t>звітний рік</t>
  </si>
  <si>
    <t xml:space="preserve">1-й </t>
  </si>
  <si>
    <t xml:space="preserve">2-й </t>
  </si>
  <si>
    <t xml:space="preserve">3-й </t>
  </si>
  <si>
    <t>прогнозний рік</t>
  </si>
  <si>
    <t>ні</t>
  </si>
  <si>
    <t>Примітка. Перелік  банків, за якими оцінка стійкості здійснюється за трьома етапами, визначений у додатку 3 до рішення Правління Національного банку України від 28 грудня  2017 року № 848-рш.</t>
  </si>
  <si>
    <t>НКБ</t>
  </si>
  <si>
    <t>Satelite</t>
  </si>
  <si>
    <t>Дані за результатами оцінки якості активів та прийнятності забезпечення за кредитними операціями банку з урахуванням коригувань фінансової звітності банку за звітний рік та  екстраполяції</t>
  </si>
  <si>
    <t>Chk</t>
  </si>
  <si>
    <t>Amount of need (lack) of capital for capitalization program before 31 December 2018</t>
  </si>
  <si>
    <t>Amount of need (lack) in capital based on the results of two stages of sustainability assessment</t>
  </si>
  <si>
    <t>Amount of need (lack) in the capital at the end of 2018 by results of stress testing by baseline scenario.</t>
  </si>
  <si>
    <t>Amount of need (lack) of capital for restructuring plan before 31 December 2019</t>
  </si>
  <si>
    <t>Amount of need (lack) in the capital at the end of 2019 by results of stress testing by baseline scenario.</t>
  </si>
  <si>
    <t>Amount of need (lack) in the capital at the end of 2020 by results of stress testing by baseline scenario.</t>
  </si>
  <si>
    <t>Amount of need (lack) in the capital at the end of 2018 by results of stress testing by adverse scenario.</t>
  </si>
  <si>
    <t>Amount of need (lack) in the capital at the end of 2019 by results of stress testing by adverse scenario.</t>
  </si>
  <si>
    <t>Amount of need (lack) in the capital at the end of 2020 by results of stress testing by adverse scenario.</t>
  </si>
  <si>
    <t>Bank</t>
  </si>
  <si>
    <t>##</t>
  </si>
  <si>
    <t>Idea bank</t>
  </si>
  <si>
    <t>Credit Agricole</t>
  </si>
  <si>
    <t>OTP bank</t>
  </si>
  <si>
    <t>Aval</t>
  </si>
  <si>
    <t>UkrSibbank</t>
  </si>
  <si>
    <t>Vostok</t>
  </si>
  <si>
    <t>Pivdenniy</t>
  </si>
  <si>
    <t>Credobank</t>
  </si>
  <si>
    <t>Sberbank</t>
  </si>
  <si>
    <t>Procredit</t>
  </si>
  <si>
    <t>A-bank</t>
  </si>
  <si>
    <t>BIS</t>
  </si>
  <si>
    <t>Prominvestbank (PIB)</t>
  </si>
  <si>
    <t>VTB</t>
  </si>
  <si>
    <t>PUMB (FUIB)</t>
  </si>
  <si>
    <t>Universal</t>
  </si>
  <si>
    <t>Credit Dnipro</t>
  </si>
  <si>
    <t>Megabank</t>
  </si>
  <si>
    <t>Alfa Bank</t>
  </si>
  <si>
    <t>Taskombank*</t>
  </si>
  <si>
    <t>* Lack of capital due to non-fulfillment of Tier 1 ratio (AQR results as of 01.01.2018). Tier 1 ratio will be implemented from 01.01.2019. Capitalization program is not needed.</t>
  </si>
  <si>
    <t>АТ "Райффайзен Банк Аваль"</t>
  </si>
  <si>
    <t>Акціонерний банк"Південний"</t>
  </si>
  <si>
    <t>NKB</t>
  </si>
  <si>
    <t>( % )</t>
  </si>
  <si>
    <t>ПАТ "УНІВЕРСАЛ БАНК"</t>
  </si>
  <si>
    <t>ПАТ "А - БАНК"</t>
  </si>
  <si>
    <t>БАНК ІНВЕСТ. ТА ЗАОЩАДЖЕНЬ</t>
  </si>
  <si>
    <t>ПАТ "КРЕДІ АГРІКОЛЬ БАНК"</t>
  </si>
  <si>
    <t>АТ "ПРОКРЕДИТ БАНК"</t>
  </si>
  <si>
    <t>ПАT "ПУМБ"</t>
  </si>
  <si>
    <t>ПАТ "Ідея Банк"</t>
  </si>
  <si>
    <t>ПАТ "КРЕДОБАНК"</t>
  </si>
  <si>
    <t>ПАТ "МЕГАБАНК", Харків</t>
  </si>
  <si>
    <t>АТ "ОТП БАНК"</t>
  </si>
  <si>
    <t>ПАТ "СБЕРБАНК"</t>
  </si>
  <si>
    <t>АТ "ТАСКОМБАНК"</t>
  </si>
  <si>
    <t>АТ "УкрСиббанк"</t>
  </si>
  <si>
    <t>ПАТ "БАНК ВОСТОК"</t>
  </si>
  <si>
    <t>ПАТ "БАНК КРЕДИТ ДНІПРО"</t>
  </si>
  <si>
    <t>ПАТ "ВТБ БАНК"</t>
  </si>
  <si>
    <t>ПАТ "Промінвестбанк"</t>
  </si>
  <si>
    <t>Розрахунковий знаменник нормативу, млн грн</t>
  </si>
  <si>
    <t>ENG</t>
  </si>
  <si>
    <t>UA</t>
  </si>
  <si>
    <t>To change language go the the first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</si>
</sst>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1"/>
      <color theme="1"/>
      <name val="Calibri"/>
      <family val="2"/>
      <scheme val="minor"/>
    </font>
    <font>
      <sz val="14"/>
      <color rgb="FF000000"/>
      <name val="Times New Roman"/>
      <family val="1"/>
      <charset val="204"/>
    </font>
    <font>
      <sz val="14"/>
      <color theme="1"/>
      <name val="Times New Roman"/>
      <family val="1"/>
      <charset val="204"/>
    </font>
    <font>
      <sz val="14"/>
      <color theme="1"/>
      <name val="Calibri"/>
      <family val="2"/>
      <charset val="204"/>
      <scheme val="minor"/>
    </font>
    <font>
      <sz val="14"/>
      <name val="Times New Roman"/>
      <family val="1"/>
      <charset val="204"/>
    </font>
    <font>
      <sz val="11"/>
      <name val="Calibri"/>
      <family val="2"/>
      <scheme val="minor"/>
    </font>
    <font>
      <sz val="12"/>
      <color theme="1"/>
      <name val="Times New Roman"/>
      <family val="1"/>
      <charset val="204"/>
    </font>
    <font>
      <b/>
      <sz val="14"/>
      <name val="Times New Roman"/>
      <family val="1"/>
      <charset val="204"/>
    </font>
    <font>
      <b/>
      <sz val="12"/>
      <color theme="1"/>
      <name val="Times New Roman"/>
      <family val="1"/>
      <charset val="204"/>
    </font>
    <font>
      <sz val="9"/>
      <color indexed="81"/>
      <name val="Tahoma"/>
      <family val="2"/>
      <charset val="204"/>
    </font>
    <font>
      <b/>
      <sz val="9"/>
      <color indexed="81"/>
      <name val="Tahoma"/>
      <family val="2"/>
      <charset val="204"/>
    </font>
    <font>
      <sz val="11"/>
      <color theme="1"/>
      <name val="Calibri"/>
      <family val="2"/>
      <scheme val="minor"/>
    </font>
    <font>
      <sz val="10"/>
      <color rgb="FF000000"/>
      <name val="Arial"/>
      <family val="2"/>
      <charset val="204"/>
    </font>
    <font>
      <u/>
      <sz val="10"/>
      <color theme="10"/>
      <name val="Arial"/>
      <family val="2"/>
      <charset val="204"/>
    </font>
    <font>
      <sz val="10"/>
      <name val="Arial"/>
      <family val="2"/>
      <charset val="204"/>
    </font>
    <font>
      <b/>
      <sz val="10"/>
      <color rgb="FFFF0000"/>
      <name val="Arial"/>
      <family val="2"/>
      <charset val="204"/>
    </font>
    <font>
      <sz val="10"/>
      <color theme="1"/>
      <name val="Arial"/>
      <family val="2"/>
      <charset val="204"/>
    </font>
    <font>
      <b/>
      <sz val="10"/>
      <color theme="1"/>
      <name val="Arial"/>
      <family val="2"/>
      <charset val="204"/>
    </font>
    <font>
      <b/>
      <sz val="10"/>
      <color rgb="FF005591"/>
      <name val="Arial"/>
      <family val="2"/>
      <charset val="204"/>
    </font>
    <font>
      <b/>
      <sz val="10"/>
      <name val="Arial"/>
      <family val="2"/>
      <charset val="204"/>
    </font>
    <font>
      <sz val="7.5"/>
      <color theme="1"/>
      <name val="Arial"/>
      <family val="2"/>
      <charset val="204"/>
    </font>
    <font>
      <sz val="7.5"/>
      <name val="Arial"/>
      <family val="2"/>
      <charset val="204"/>
    </font>
    <font>
      <b/>
      <i/>
      <sz val="10"/>
      <color theme="1"/>
      <name val="Arial"/>
      <family val="2"/>
      <charset val="204"/>
    </font>
    <font>
      <sz val="10"/>
      <color theme="0"/>
      <name val="Arial"/>
      <family val="2"/>
      <charset val="204"/>
    </font>
    <font>
      <i/>
      <sz val="7.5"/>
      <color rgb="FF7D0532"/>
      <name val="Arial"/>
      <family val="2"/>
      <charset val="204"/>
    </font>
    <font>
      <b/>
      <sz val="10"/>
      <color rgb="FF7D0532"/>
      <name val="Arial"/>
      <family val="2"/>
      <charset val="204"/>
    </font>
    <font>
      <sz val="10"/>
      <color rgb="FF7D0532"/>
      <name val="Arial"/>
      <family val="2"/>
      <charset val="204"/>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FF"/>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E5A9B4"/>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rgb="FF46AFE6"/>
      </bottom>
      <diagonal/>
    </border>
    <border>
      <left style="dotted">
        <color rgb="FF46AFE6"/>
      </left>
      <right style="dotted">
        <color rgb="FF46AFE6"/>
      </right>
      <top style="dotted">
        <color rgb="FF46AFE6"/>
      </top>
      <bottom style="dotted">
        <color rgb="FF46AFE6"/>
      </bottom>
      <diagonal/>
    </border>
    <border>
      <left style="dotted">
        <color rgb="FF46AFE6"/>
      </left>
      <right style="dotted">
        <color rgb="FF46AFE6"/>
      </right>
      <top/>
      <bottom/>
      <diagonal/>
    </border>
    <border>
      <left style="dotted">
        <color rgb="FF46AFE6"/>
      </left>
      <right style="dotted">
        <color rgb="FF46AFE6"/>
      </right>
      <top/>
      <bottom style="dotted">
        <color rgb="FF46AFE6"/>
      </bottom>
      <diagonal/>
    </border>
    <border>
      <left/>
      <right style="dotted">
        <color rgb="FF46AFE6"/>
      </right>
      <top style="dotted">
        <color rgb="FF46AFE6"/>
      </top>
      <bottom/>
      <diagonal/>
    </border>
    <border>
      <left style="dotted">
        <color rgb="FF46AFE6"/>
      </left>
      <right style="dotted">
        <color rgb="FF46AFE6"/>
      </right>
      <top style="dotted">
        <color rgb="FF46AFE6"/>
      </top>
      <bottom/>
      <diagonal/>
    </border>
    <border>
      <left/>
      <right style="dotted">
        <color rgb="FF46AFE6"/>
      </right>
      <top style="dotted">
        <color rgb="FF46AFE6"/>
      </top>
      <bottom style="dotted">
        <color rgb="FF46AFE6"/>
      </bottom>
      <diagonal/>
    </border>
    <border>
      <left/>
      <right style="dotted">
        <color rgb="FF46AFE6"/>
      </right>
      <top/>
      <bottom style="dotted">
        <color rgb="FF46AFE6"/>
      </bottom>
      <diagonal/>
    </border>
    <border>
      <left style="dotted">
        <color rgb="FF46AFE6"/>
      </left>
      <right/>
      <top/>
      <bottom/>
      <diagonal/>
    </border>
    <border>
      <left style="dotted">
        <color rgb="FF46AFE6"/>
      </left>
      <right/>
      <top style="dotted">
        <color rgb="FF46AFE6"/>
      </top>
      <bottom/>
      <diagonal/>
    </border>
    <border>
      <left/>
      <right style="dotted">
        <color rgb="FF46AFE6"/>
      </right>
      <top/>
      <bottom/>
      <diagonal/>
    </border>
    <border>
      <left/>
      <right/>
      <top style="thin">
        <color rgb="FF46AFE6"/>
      </top>
      <bottom/>
      <diagonal/>
    </border>
    <border>
      <left style="dotted">
        <color rgb="FF46AFE6"/>
      </left>
      <right style="dotted">
        <color rgb="FF46AFE6"/>
      </right>
      <top style="thin">
        <color rgb="FF46AFE6"/>
      </top>
      <bottom style="dotted">
        <color rgb="FF46AFE6"/>
      </bottom>
      <diagonal/>
    </border>
    <border>
      <left style="dotted">
        <color rgb="FF46AFE6"/>
      </left>
      <right/>
      <top/>
      <bottom style="dotted">
        <color rgb="FF46AFE6"/>
      </bottom>
      <diagonal/>
    </border>
    <border>
      <left/>
      <right/>
      <top style="dotted">
        <color rgb="FF46AFE6"/>
      </top>
      <bottom style="dotted">
        <color rgb="FF46AFE6"/>
      </bottom>
      <diagonal/>
    </border>
    <border>
      <left style="dotted">
        <color rgb="FF46AFE6"/>
      </left>
      <right/>
      <top style="dotted">
        <color rgb="FF46AFE6"/>
      </top>
      <bottom style="dotted">
        <color rgb="FF46AFE6"/>
      </bottom>
      <diagonal/>
    </border>
    <border>
      <left/>
      <right/>
      <top style="dotted">
        <color rgb="FF46AFE6"/>
      </top>
      <bottom/>
      <diagonal/>
    </border>
    <border>
      <left/>
      <right style="thin">
        <color rgb="FF46AFE6"/>
      </right>
      <top/>
      <bottom/>
      <diagonal/>
    </border>
    <border>
      <left/>
      <right/>
      <top style="thin">
        <color rgb="FF46AFE6"/>
      </top>
      <bottom style="thin">
        <color rgb="FF46AFE6"/>
      </bottom>
      <diagonal/>
    </border>
    <border>
      <left/>
      <right style="dotted">
        <color rgb="FF46AFE6"/>
      </right>
      <top style="thin">
        <color rgb="FF46AFE6"/>
      </top>
      <bottom style="dotted">
        <color rgb="FF46AFE6"/>
      </bottom>
      <diagonal/>
    </border>
    <border>
      <left/>
      <right/>
      <top style="thin">
        <color rgb="FF46AFE6"/>
      </top>
      <bottom style="dotted">
        <color rgb="FF46AFE6"/>
      </bottom>
      <diagonal/>
    </border>
    <border>
      <left style="dotted">
        <color rgb="FF46AFE6"/>
      </left>
      <right/>
      <top style="thin">
        <color rgb="FF46AFE6"/>
      </top>
      <bottom style="dotted">
        <color rgb="FF46AFE6"/>
      </bottom>
      <diagonal/>
    </border>
  </borders>
  <cellStyleXfs count="5">
    <xf numFmtId="0" fontId="0" fillId="0" borderId="0"/>
    <xf numFmtId="9" fontId="11" fillId="0" borderId="0" applyFont="0" applyFill="0" applyBorder="0" applyAlignment="0" applyProtection="0"/>
    <xf numFmtId="0" fontId="12" fillId="0" borderId="0"/>
    <xf numFmtId="0" fontId="13" fillId="0" borderId="0" applyNumberFormat="0" applyFill="0" applyBorder="0" applyAlignment="0" applyProtection="0"/>
    <xf numFmtId="0" fontId="12" fillId="0" borderId="0"/>
  </cellStyleXfs>
  <cellXfs count="184">
    <xf numFmtId="0" fontId="0" fillId="0" borderId="0" xfId="0"/>
    <xf numFmtId="14" fontId="0" fillId="0" borderId="0" xfId="0" applyNumberFormat="1"/>
    <xf numFmtId="0" fontId="0" fillId="3" borderId="0" xfId="0" applyFill="1"/>
    <xf numFmtId="14" fontId="0" fillId="3" borderId="0" xfId="0" applyNumberFormat="1" applyFill="1"/>
    <xf numFmtId="0" fontId="2" fillId="0" borderId="0" xfId="0" applyFont="1" applyAlignment="1">
      <alignment vertical="center"/>
    </xf>
    <xf numFmtId="0" fontId="2" fillId="0" borderId="0" xfId="0" applyFont="1" applyAlignment="1">
      <alignment horizontal="left" vertical="center"/>
    </xf>
    <xf numFmtId="0" fontId="0" fillId="0" borderId="0" xfId="0" applyAlignment="1">
      <alignment horizontal="left"/>
    </xf>
    <xf numFmtId="0" fontId="3" fillId="0" borderId="0" xfId="0" applyFont="1" applyAlignment="1">
      <alignment horizontal="left"/>
    </xf>
    <xf numFmtId="0" fontId="5" fillId="0" borderId="0" xfId="0" applyFont="1" applyAlignment="1">
      <alignment wrapText="1"/>
    </xf>
    <xf numFmtId="0" fontId="5" fillId="0" borderId="0" xfId="0" applyFont="1"/>
    <xf numFmtId="0" fontId="6" fillId="0" borderId="1" xfId="0" applyFont="1" applyBorder="1"/>
    <xf numFmtId="3" fontId="6" fillId="0" borderId="1" xfId="0" applyNumberFormat="1" applyFont="1" applyFill="1" applyBorder="1"/>
    <xf numFmtId="10" fontId="6" fillId="0" borderId="1" xfId="0" applyNumberFormat="1" applyFont="1" applyFill="1" applyBorder="1"/>
    <xf numFmtId="0" fontId="6" fillId="0" borderId="1" xfId="0" applyFont="1" applyFill="1" applyBorder="1" applyAlignment="1">
      <alignment horizontal="center"/>
    </xf>
    <xf numFmtId="3" fontId="6" fillId="0" borderId="1" xfId="0" applyNumberFormat="1" applyFont="1" applyFill="1" applyBorder="1" applyAlignment="1">
      <alignment horizontal="center"/>
    </xf>
    <xf numFmtId="0" fontId="6" fillId="2" borderId="1" xfId="0" applyFont="1" applyFill="1" applyBorder="1" applyAlignment="1">
      <alignment horizontal="center"/>
    </xf>
    <xf numFmtId="0" fontId="6" fillId="0" borderId="0" xfId="0" applyFont="1"/>
    <xf numFmtId="0" fontId="0" fillId="0" borderId="0" xfId="0" applyFill="1"/>
    <xf numFmtId="0" fontId="6" fillId="0" borderId="1" xfId="0" applyFont="1" applyFill="1" applyBorder="1"/>
    <xf numFmtId="0" fontId="4" fillId="0" borderId="4" xfId="0" applyFont="1" applyBorder="1" applyAlignment="1">
      <alignment horizontal="center" vertical="center"/>
    </xf>
    <xf numFmtId="10" fontId="6" fillId="0" borderId="4" xfId="0" applyNumberFormat="1" applyFont="1" applyFill="1" applyBorder="1"/>
    <xf numFmtId="0" fontId="4" fillId="0" borderId="6" xfId="0" applyFont="1" applyBorder="1" applyAlignment="1">
      <alignment horizontal="center" vertical="center"/>
    </xf>
    <xf numFmtId="3" fontId="6" fillId="0" borderId="6" xfId="0" applyNumberFormat="1" applyFont="1" applyFill="1" applyBorder="1" applyAlignment="1">
      <alignment horizontal="center"/>
    </xf>
    <xf numFmtId="0" fontId="7" fillId="5" borderId="8" xfId="0" applyFont="1" applyFill="1" applyBorder="1" applyAlignment="1">
      <alignment horizontal="center" vertical="center"/>
    </xf>
    <xf numFmtId="3" fontId="8" fillId="5" borderId="8" xfId="0" applyNumberFormat="1" applyFont="1" applyFill="1" applyBorder="1" applyAlignment="1">
      <alignment horizont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4" xfId="0" applyFont="1" applyBorder="1" applyAlignment="1">
      <alignment horizontal="center" vertical="center" wrapText="1"/>
    </xf>
    <xf numFmtId="3" fontId="0" fillId="0" borderId="0" xfId="0" applyNumberFormat="1"/>
    <xf numFmtId="0" fontId="16" fillId="6" borderId="0" xfId="0" applyFont="1" applyFill="1"/>
    <xf numFmtId="0" fontId="16" fillId="6" borderId="0" xfId="0" quotePrefix="1" applyFont="1" applyFill="1"/>
    <xf numFmtId="0" fontId="16" fillId="6" borderId="1" xfId="0" applyFont="1" applyFill="1" applyBorder="1"/>
    <xf numFmtId="3" fontId="16" fillId="6" borderId="1" xfId="0" applyNumberFormat="1" applyFont="1" applyFill="1" applyBorder="1"/>
    <xf numFmtId="0" fontId="17" fillId="6" borderId="0" xfId="0" applyFont="1" applyFill="1"/>
    <xf numFmtId="0" fontId="16" fillId="6" borderId="0" xfId="0" applyFont="1" applyFill="1" applyBorder="1"/>
    <xf numFmtId="164" fontId="16" fillId="6" borderId="0" xfId="1" applyNumberFormat="1" applyFont="1" applyFill="1" applyBorder="1"/>
    <xf numFmtId="0" fontId="14" fillId="6" borderId="1" xfId="0" applyFont="1" applyFill="1" applyBorder="1" applyAlignment="1">
      <alignment horizontal="center" vertical="center" wrapText="1"/>
    </xf>
    <xf numFmtId="0" fontId="16" fillId="6" borderId="1" xfId="0" applyFont="1" applyFill="1" applyBorder="1" applyAlignment="1">
      <alignment horizontal="center" vertical="center"/>
    </xf>
    <xf numFmtId="0" fontId="18" fillId="6" borderId="0" xfId="0" applyFont="1" applyFill="1"/>
    <xf numFmtId="0" fontId="18" fillId="7" borderId="0" xfId="0" applyFont="1" applyFill="1" applyBorder="1" applyAlignment="1">
      <alignment horizontal="center" vertical="center" wrapText="1"/>
    </xf>
    <xf numFmtId="0" fontId="16" fillId="6" borderId="15" xfId="0" applyFont="1" applyFill="1" applyBorder="1"/>
    <xf numFmtId="0" fontId="16" fillId="6" borderId="15" xfId="0" applyFont="1" applyFill="1" applyBorder="1" applyAlignment="1">
      <alignment horizontal="right"/>
    </xf>
    <xf numFmtId="164" fontId="16" fillId="6" borderId="16" xfId="1" applyNumberFormat="1" applyFont="1" applyFill="1" applyBorder="1"/>
    <xf numFmtId="164" fontId="16" fillId="6" borderId="17" xfId="1" applyNumberFormat="1" applyFont="1" applyFill="1" applyBorder="1"/>
    <xf numFmtId="164" fontId="16" fillId="6" borderId="18" xfId="1" applyNumberFormat="1" applyFont="1" applyFill="1" applyBorder="1"/>
    <xf numFmtId="3" fontId="16" fillId="6" borderId="16" xfId="0" applyNumberFormat="1" applyFont="1" applyFill="1" applyBorder="1"/>
    <xf numFmtId="164" fontId="16" fillId="6" borderId="21" xfId="1" applyNumberFormat="1" applyFont="1" applyFill="1" applyBorder="1"/>
    <xf numFmtId="164" fontId="16" fillId="6" borderId="22" xfId="1" applyNumberFormat="1" applyFont="1" applyFill="1" applyBorder="1"/>
    <xf numFmtId="3" fontId="16" fillId="6" borderId="19" xfId="0" applyNumberFormat="1" applyFont="1" applyFill="1" applyBorder="1"/>
    <xf numFmtId="3" fontId="16" fillId="6" borderId="21" xfId="0" applyNumberFormat="1" applyFont="1" applyFill="1" applyBorder="1"/>
    <xf numFmtId="164" fontId="16" fillId="6" borderId="23" xfId="1" applyNumberFormat="1" applyFont="1" applyFill="1" applyBorder="1"/>
    <xf numFmtId="0" fontId="16" fillId="6" borderId="24" xfId="0" applyFont="1" applyFill="1" applyBorder="1"/>
    <xf numFmtId="0" fontId="16" fillId="6" borderId="16" xfId="0" applyFont="1" applyFill="1" applyBorder="1"/>
    <xf numFmtId="0" fontId="16" fillId="6" borderId="18" xfId="0" applyFont="1" applyFill="1" applyBorder="1" applyAlignment="1">
      <alignment wrapText="1"/>
    </xf>
    <xf numFmtId="0" fontId="16" fillId="6" borderId="25" xfId="0" applyFont="1" applyFill="1" applyBorder="1"/>
    <xf numFmtId="3" fontId="16" fillId="6" borderId="25" xfId="0" applyNumberFormat="1" applyFont="1" applyFill="1" applyBorder="1"/>
    <xf numFmtId="0" fontId="16" fillId="6" borderId="27" xfId="0" applyFont="1" applyFill="1" applyBorder="1"/>
    <xf numFmtId="3" fontId="16" fillId="6" borderId="17" xfId="0" applyNumberFormat="1" applyFont="1" applyFill="1" applyBorder="1"/>
    <xf numFmtId="0" fontId="16" fillId="6" borderId="23" xfId="0" applyFont="1" applyFill="1" applyBorder="1"/>
    <xf numFmtId="0" fontId="16" fillId="8" borderId="20" xfId="0" applyFont="1" applyFill="1" applyBorder="1"/>
    <xf numFmtId="3" fontId="16" fillId="8" borderId="21" xfId="0" applyNumberFormat="1" applyFont="1" applyFill="1" applyBorder="1"/>
    <xf numFmtId="3" fontId="16" fillId="8" borderId="16" xfId="0" applyNumberFormat="1" applyFont="1" applyFill="1" applyBorder="1"/>
    <xf numFmtId="0" fontId="16" fillId="8" borderId="18" xfId="0" applyFont="1" applyFill="1" applyBorder="1"/>
    <xf numFmtId="164" fontId="16" fillId="8" borderId="22" xfId="1" applyNumberFormat="1" applyFont="1" applyFill="1" applyBorder="1"/>
    <xf numFmtId="164" fontId="16" fillId="8" borderId="16" xfId="1" applyNumberFormat="1" applyFont="1" applyFill="1" applyBorder="1"/>
    <xf numFmtId="164" fontId="16" fillId="8" borderId="18" xfId="1" applyNumberFormat="1" applyFont="1" applyFill="1" applyBorder="1"/>
    <xf numFmtId="0" fontId="14" fillId="6" borderId="28" xfId="0" applyFont="1" applyFill="1" applyBorder="1" applyAlignment="1">
      <alignment horizontal="left" vertical="center" wrapText="1"/>
    </xf>
    <xf numFmtId="3" fontId="16" fillId="6" borderId="16" xfId="1" applyNumberFormat="1" applyFont="1" applyFill="1" applyBorder="1"/>
    <xf numFmtId="3" fontId="16" fillId="6" borderId="18" xfId="1" applyNumberFormat="1" applyFont="1" applyFill="1" applyBorder="1"/>
    <xf numFmtId="0" fontId="14" fillId="6" borderId="24" xfId="0" applyFont="1" applyFill="1" applyBorder="1" applyAlignment="1">
      <alignment horizontal="left" vertical="center" wrapText="1"/>
    </xf>
    <xf numFmtId="0" fontId="14" fillId="6" borderId="30" xfId="0" applyFont="1" applyFill="1" applyBorder="1" applyAlignment="1">
      <alignment horizontal="left" vertical="center" wrapText="1"/>
    </xf>
    <xf numFmtId="164" fontId="16" fillId="6" borderId="30" xfId="1" applyNumberFormat="1" applyFont="1" applyFill="1" applyBorder="1"/>
    <xf numFmtId="3" fontId="16" fillId="6" borderId="23" xfId="0" applyNumberFormat="1" applyFont="1" applyFill="1" applyBorder="1"/>
    <xf numFmtId="3" fontId="16" fillId="6" borderId="0" xfId="0" applyNumberFormat="1" applyFont="1" applyFill="1" applyBorder="1"/>
    <xf numFmtId="0" fontId="17" fillId="6" borderId="0" xfId="0" applyFont="1" applyFill="1" applyAlignment="1">
      <alignment wrapText="1"/>
    </xf>
    <xf numFmtId="0" fontId="17" fillId="6" borderId="0" xfId="0" applyFont="1" applyFill="1" applyAlignment="1">
      <alignment vertical="center" wrapText="1"/>
    </xf>
    <xf numFmtId="0" fontId="17" fillId="6" borderId="15" xfId="0" applyFont="1" applyFill="1" applyBorder="1" applyAlignment="1">
      <alignment horizontal="center" vertical="center"/>
    </xf>
    <xf numFmtId="0" fontId="16" fillId="6" borderId="15" xfId="0" applyFont="1" applyFill="1" applyBorder="1" applyAlignment="1">
      <alignment horizontal="right" vertical="center"/>
    </xf>
    <xf numFmtId="0" fontId="16" fillId="6" borderId="32" xfId="0" applyFont="1" applyFill="1" applyBorder="1"/>
    <xf numFmtId="0" fontId="17" fillId="6" borderId="0" xfId="0" applyFont="1" applyFill="1" applyAlignment="1"/>
    <xf numFmtId="0" fontId="15" fillId="6" borderId="0" xfId="3" quotePrefix="1" applyFont="1" applyFill="1" applyAlignment="1">
      <alignment wrapText="1"/>
    </xf>
    <xf numFmtId="164" fontId="16" fillId="6" borderId="1" xfId="0" applyNumberFormat="1" applyFont="1" applyFill="1" applyBorder="1"/>
    <xf numFmtId="0" fontId="16" fillId="6" borderId="1" xfId="0" applyFont="1" applyFill="1" applyBorder="1" applyAlignment="1">
      <alignment vertical="center" wrapText="1"/>
    </xf>
    <xf numFmtId="0" fontId="16" fillId="6" borderId="1" xfId="0" applyFont="1" applyFill="1" applyBorder="1" applyAlignment="1">
      <alignment vertical="top" wrapText="1"/>
    </xf>
    <xf numFmtId="0" fontId="13" fillId="6" borderId="0" xfId="3" quotePrefix="1" applyFont="1" applyFill="1"/>
    <xf numFmtId="3" fontId="16" fillId="6" borderId="0" xfId="0" applyNumberFormat="1" applyFont="1" applyFill="1"/>
    <xf numFmtId="0" fontId="16" fillId="6" borderId="1" xfId="0" quotePrefix="1" applyFont="1" applyFill="1" applyBorder="1"/>
    <xf numFmtId="0" fontId="16" fillId="6" borderId="31" xfId="0" applyFont="1" applyFill="1" applyBorder="1"/>
    <xf numFmtId="3" fontId="16" fillId="8" borderId="20" xfId="0" applyNumberFormat="1" applyFont="1" applyFill="1" applyBorder="1"/>
    <xf numFmtId="0" fontId="14" fillId="6" borderId="16" xfId="0" applyFont="1" applyFill="1" applyBorder="1" applyAlignment="1">
      <alignment horizontal="left" vertical="center" wrapText="1"/>
    </xf>
    <xf numFmtId="0" fontId="19" fillId="6" borderId="0" xfId="0" applyFont="1" applyFill="1" applyBorder="1" applyAlignment="1">
      <alignment vertical="center"/>
    </xf>
    <xf numFmtId="0" fontId="14" fillId="0" borderId="2" xfId="0" applyFont="1" applyFill="1" applyBorder="1" applyAlignment="1">
      <alignment horizontal="center" vertical="center" wrapText="1"/>
    </xf>
    <xf numFmtId="0" fontId="21" fillId="6" borderId="0" xfId="0" applyFont="1" applyFill="1" applyBorder="1" applyAlignment="1">
      <alignment horizontal="left" vertical="center"/>
    </xf>
    <xf numFmtId="0" fontId="20" fillId="6" borderId="0" xfId="0" applyFont="1" applyFill="1" applyAlignment="1">
      <alignment horizontal="right" vertical="center"/>
    </xf>
    <xf numFmtId="0" fontId="21" fillId="0" borderId="0" xfId="0" applyFont="1" applyFill="1" applyBorder="1" applyAlignment="1">
      <alignment horizontal="left" vertical="center"/>
    </xf>
    <xf numFmtId="0" fontId="21" fillId="7" borderId="0" xfId="0" applyFont="1" applyFill="1" applyBorder="1" applyAlignment="1">
      <alignment horizontal="left" vertical="center"/>
    </xf>
    <xf numFmtId="0" fontId="20" fillId="7" borderId="0" xfId="0" applyFont="1" applyFill="1" applyAlignment="1">
      <alignment horizontal="right" vertical="center"/>
    </xf>
    <xf numFmtId="0" fontId="17" fillId="0" borderId="0" xfId="0" applyFont="1" applyFill="1"/>
    <xf numFmtId="3" fontId="16" fillId="6" borderId="0" xfId="1" applyNumberFormat="1" applyFont="1" applyFill="1" applyBorder="1"/>
    <xf numFmtId="0" fontId="16" fillId="8" borderId="16" xfId="0" applyFont="1" applyFill="1" applyBorder="1" applyAlignment="1">
      <alignment vertical="center" wrapText="1"/>
    </xf>
    <xf numFmtId="0" fontId="18" fillId="7" borderId="15" xfId="0" applyFont="1" applyFill="1" applyBorder="1" applyAlignment="1">
      <alignment horizontal="right" vertical="center" wrapText="1"/>
    </xf>
    <xf numFmtId="0" fontId="18" fillId="7" borderId="26" xfId="0" applyFont="1" applyFill="1" applyBorder="1" applyAlignment="1">
      <alignment horizontal="right" vertical="center" wrapText="1"/>
    </xf>
    <xf numFmtId="0" fontId="20" fillId="7" borderId="33" xfId="0" applyFont="1" applyFill="1" applyBorder="1" applyAlignment="1">
      <alignment horizontal="right" vertical="center"/>
    </xf>
    <xf numFmtId="0" fontId="21" fillId="7" borderId="15" xfId="0" applyFont="1" applyFill="1" applyBorder="1" applyAlignment="1">
      <alignment horizontal="left" vertical="center"/>
    </xf>
    <xf numFmtId="0" fontId="20" fillId="7" borderId="15" xfId="0" applyFont="1" applyFill="1" applyBorder="1" applyAlignment="1">
      <alignment horizontal="right" vertical="center"/>
    </xf>
    <xf numFmtId="0" fontId="19" fillId="6" borderId="0" xfId="3" quotePrefix="1" applyFont="1" applyFill="1" applyAlignment="1">
      <alignment wrapText="1"/>
    </xf>
    <xf numFmtId="0" fontId="19" fillId="6" borderId="0" xfId="3" quotePrefix="1" applyFont="1" applyFill="1" applyAlignment="1">
      <alignment horizontal="left"/>
    </xf>
    <xf numFmtId="0" fontId="18" fillId="7" borderId="15" xfId="0" applyFont="1" applyFill="1" applyBorder="1" applyAlignment="1">
      <alignment horizontal="center" vertical="center" wrapText="1"/>
    </xf>
    <xf numFmtId="1" fontId="16" fillId="8" borderId="16" xfId="1" applyNumberFormat="1" applyFont="1" applyFill="1" applyBorder="1"/>
    <xf numFmtId="1" fontId="16" fillId="6" borderId="1" xfId="0" applyNumberFormat="1" applyFont="1" applyFill="1" applyBorder="1"/>
    <xf numFmtId="3" fontId="16" fillId="6" borderId="1" xfId="0" applyNumberFormat="1" applyFont="1" applyFill="1" applyBorder="1" applyAlignment="1">
      <alignment vertical="center" wrapText="1"/>
    </xf>
    <xf numFmtId="164" fontId="16" fillId="6" borderId="0" xfId="0" applyNumberFormat="1" applyFont="1" applyFill="1"/>
    <xf numFmtId="164" fontId="16" fillId="6" borderId="0" xfId="0" applyNumberFormat="1" applyFont="1" applyFill="1" applyBorder="1"/>
    <xf numFmtId="0" fontId="16" fillId="6" borderId="1" xfId="0" applyFont="1" applyFill="1" applyBorder="1" applyAlignment="1">
      <alignment horizontal="right"/>
    </xf>
    <xf numFmtId="3" fontId="16" fillId="0" borderId="1" xfId="0" applyNumberFormat="1" applyFont="1" applyFill="1" applyBorder="1"/>
    <xf numFmtId="0" fontId="16" fillId="8" borderId="30" xfId="0" applyFont="1" applyFill="1" applyBorder="1" applyAlignment="1">
      <alignment vertical="center" wrapText="1"/>
    </xf>
    <xf numFmtId="9" fontId="16" fillId="6" borderId="16" xfId="0" applyNumberFormat="1" applyFont="1" applyFill="1" applyBorder="1"/>
    <xf numFmtId="0" fontId="18" fillId="7" borderId="0" xfId="0" applyFont="1" applyFill="1" applyBorder="1" applyAlignment="1">
      <alignment horizontal="center" vertical="center" wrapText="1"/>
    </xf>
    <xf numFmtId="0" fontId="18" fillId="7" borderId="15" xfId="0" applyFont="1" applyFill="1" applyBorder="1" applyAlignment="1">
      <alignment horizontal="center" vertical="center" wrapText="1"/>
    </xf>
    <xf numFmtId="0" fontId="18" fillId="7" borderId="15" xfId="0" applyFont="1" applyFill="1" applyBorder="1" applyAlignment="1">
      <alignment horizontal="right" vertical="center" wrapText="1"/>
    </xf>
    <xf numFmtId="0" fontId="14" fillId="6" borderId="1" xfId="0" applyFont="1" applyFill="1" applyBorder="1" applyAlignment="1">
      <alignment horizontal="center" vertical="center" wrapText="1"/>
    </xf>
    <xf numFmtId="0" fontId="16" fillId="6" borderId="1" xfId="0" applyFont="1" applyFill="1" applyBorder="1" applyAlignment="1">
      <alignment horizontal="center" vertical="center"/>
    </xf>
    <xf numFmtId="0" fontId="22" fillId="6" borderId="0" xfId="0" applyFont="1" applyFill="1" applyAlignment="1">
      <alignment horizontal="right"/>
    </xf>
    <xf numFmtId="164" fontId="14" fillId="8" borderId="16" xfId="1" applyNumberFormat="1" applyFont="1" applyFill="1" applyBorder="1"/>
    <xf numFmtId="0" fontId="21" fillId="6" borderId="0" xfId="0" applyFont="1" applyFill="1"/>
    <xf numFmtId="9" fontId="16" fillId="6" borderId="18" xfId="0" applyNumberFormat="1" applyFont="1" applyFill="1" applyBorder="1"/>
    <xf numFmtId="3" fontId="16" fillId="6" borderId="18" xfId="0" applyNumberFormat="1" applyFont="1" applyFill="1" applyBorder="1"/>
    <xf numFmtId="0" fontId="23" fillId="6" borderId="0" xfId="0" applyFont="1" applyFill="1" applyBorder="1" applyAlignment="1"/>
    <xf numFmtId="0" fontId="23" fillId="6" borderId="0" xfId="0" applyFont="1" applyFill="1" applyAlignment="1"/>
    <xf numFmtId="0" fontId="24" fillId="6" borderId="0" xfId="0" applyFont="1" applyFill="1"/>
    <xf numFmtId="0" fontId="14" fillId="6" borderId="1" xfId="0" applyFont="1" applyFill="1" applyBorder="1" applyAlignment="1">
      <alignment horizontal="center" vertical="center" wrapText="1"/>
    </xf>
    <xf numFmtId="0" fontId="23" fillId="6" borderId="0" xfId="0" applyFont="1" applyFill="1"/>
    <xf numFmtId="0" fontId="25" fillId="6" borderId="0" xfId="0" applyFont="1" applyFill="1"/>
    <xf numFmtId="3" fontId="26" fillId="9" borderId="1" xfId="0" applyNumberFormat="1" applyFont="1" applyFill="1" applyBorder="1"/>
    <xf numFmtId="164" fontId="17" fillId="6" borderId="0" xfId="0" applyNumberFormat="1" applyFont="1" applyFill="1" applyAlignment="1">
      <alignment horizontal="center" vertical="center" wrapText="1"/>
    </xf>
    <xf numFmtId="0" fontId="17" fillId="6" borderId="0" xfId="0" applyFont="1" applyFill="1" applyAlignment="1">
      <alignment horizontal="center" vertical="center"/>
    </xf>
    <xf numFmtId="0" fontId="18" fillId="7" borderId="26" xfId="0" applyFont="1" applyFill="1" applyBorder="1" applyAlignment="1">
      <alignment horizontal="center" vertical="center" wrapText="1"/>
    </xf>
    <xf numFmtId="0" fontId="18" fillId="7" borderId="0" xfId="0" applyFont="1" applyFill="1" applyBorder="1" applyAlignment="1">
      <alignment horizontal="center" vertical="center" wrapText="1"/>
    </xf>
    <xf numFmtId="0" fontId="18" fillId="7" borderId="15" xfId="0" applyFont="1" applyFill="1" applyBorder="1" applyAlignment="1">
      <alignment horizontal="center" vertical="center" wrapText="1"/>
    </xf>
    <xf numFmtId="0" fontId="18" fillId="7" borderId="0" xfId="0" applyFont="1" applyFill="1" applyBorder="1" applyAlignment="1">
      <alignment horizontal="center" vertical="center"/>
    </xf>
    <xf numFmtId="0" fontId="16" fillId="8" borderId="30" xfId="0" applyFont="1" applyFill="1" applyBorder="1" applyAlignment="1">
      <alignment horizontal="center" vertical="center" wrapText="1"/>
    </xf>
    <xf numFmtId="0" fontId="16" fillId="8" borderId="29" xfId="0" applyFont="1" applyFill="1" applyBorder="1" applyAlignment="1">
      <alignment horizontal="center" vertical="center" wrapText="1"/>
    </xf>
    <xf numFmtId="0" fontId="16" fillId="8" borderId="21" xfId="0" applyFont="1" applyFill="1" applyBorder="1" applyAlignment="1">
      <alignment horizontal="center" vertical="center" wrapText="1"/>
    </xf>
    <xf numFmtId="0" fontId="17" fillId="6" borderId="0" xfId="0" applyFont="1" applyFill="1" applyAlignment="1">
      <alignment horizontal="center" vertical="center" wrapText="1"/>
    </xf>
    <xf numFmtId="0" fontId="18" fillId="7" borderId="15" xfId="0" applyFont="1" applyFill="1" applyBorder="1" applyAlignment="1">
      <alignment horizontal="center" vertical="center"/>
    </xf>
    <xf numFmtId="3" fontId="16" fillId="6" borderId="29" xfId="0" applyNumberFormat="1" applyFont="1" applyFill="1" applyBorder="1" applyAlignment="1">
      <alignment horizontal="right"/>
    </xf>
    <xf numFmtId="3" fontId="16" fillId="6" borderId="21" xfId="0" applyNumberFormat="1" applyFont="1" applyFill="1" applyBorder="1" applyAlignment="1">
      <alignment horizontal="right"/>
    </xf>
    <xf numFmtId="3" fontId="16" fillId="6" borderId="36" xfId="0" applyNumberFormat="1" applyFont="1" applyFill="1" applyBorder="1" applyAlignment="1">
      <alignment horizontal="right"/>
    </xf>
    <xf numFmtId="3" fontId="16" fillId="6" borderId="34" xfId="0" applyNumberFormat="1" applyFont="1" applyFill="1" applyBorder="1" applyAlignment="1">
      <alignment horizontal="right"/>
    </xf>
    <xf numFmtId="3" fontId="16" fillId="6" borderId="30" xfId="0" applyNumberFormat="1" applyFont="1" applyFill="1" applyBorder="1" applyAlignment="1">
      <alignment horizontal="right"/>
    </xf>
    <xf numFmtId="0" fontId="18" fillId="7" borderId="15" xfId="0" applyFont="1" applyFill="1" applyBorder="1" applyAlignment="1">
      <alignment horizontal="right" vertical="center" wrapText="1"/>
    </xf>
    <xf numFmtId="3" fontId="16" fillId="6" borderId="35" xfId="0" applyNumberFormat="1" applyFont="1" applyFill="1" applyBorder="1" applyAlignment="1">
      <alignment horizontal="right"/>
    </xf>
    <xf numFmtId="3" fontId="16" fillId="6" borderId="0" xfId="0" applyNumberFormat="1" applyFont="1" applyFill="1" applyBorder="1" applyAlignment="1">
      <alignment horizontal="right"/>
    </xf>
    <xf numFmtId="3" fontId="16" fillId="6" borderId="25" xfId="0" applyNumberFormat="1" applyFont="1" applyFill="1" applyBorder="1" applyAlignment="1">
      <alignment horizontal="right"/>
    </xf>
    <xf numFmtId="0" fontId="16" fillId="6" borderId="1" xfId="0" applyFont="1" applyFill="1" applyBorder="1" applyAlignment="1">
      <alignment horizontal="center" vertical="center"/>
    </xf>
    <xf numFmtId="0" fontId="14" fillId="6" borderId="9" xfId="0" applyFont="1" applyFill="1" applyBorder="1" applyAlignment="1">
      <alignment horizontal="center" vertical="center" wrapText="1"/>
    </xf>
    <xf numFmtId="0" fontId="14" fillId="6" borderId="10"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12" fillId="6" borderId="1" xfId="4" applyFont="1" applyFill="1" applyBorder="1" applyAlignment="1">
      <alignment horizontal="center" vertical="center"/>
    </xf>
    <xf numFmtId="0" fontId="12" fillId="6" borderId="2"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7" fillId="5" borderId="7"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1" fillId="0" borderId="0" xfId="0" applyFont="1" applyAlignment="1">
      <alignment vertical="top" wrapText="1"/>
    </xf>
    <xf numFmtId="0" fontId="4" fillId="4" borderId="1" xfId="0" applyFont="1" applyFill="1" applyBorder="1" applyAlignment="1">
      <alignment horizontal="center" vertical="center" wrapText="1"/>
    </xf>
  </cellXfs>
  <cellStyles count="5">
    <cellStyle name="Відсотковий" xfId="1" builtinId="5"/>
    <cellStyle name="Гиперссылка 2" xfId="3"/>
    <cellStyle name="Звичайний" xfId="0" builtinId="0"/>
    <cellStyle name="Звичайний 2" xfId="4"/>
    <cellStyle name="Звичайний 3" xfId="2"/>
  </cellStyles>
  <dxfs count="1">
    <dxf>
      <fill>
        <patternFill>
          <bgColor rgb="FF8C969B"/>
        </patternFill>
      </fill>
    </dxf>
  </dxfs>
  <tableStyles count="0" defaultTableStyle="TableStyleMedium2" defaultPivotStyle="PivotStyleLight16"/>
  <colors>
    <mruColors>
      <color rgb="FFE5A9B4"/>
      <color rgb="FFC84B64"/>
      <color rgb="FF7D0532"/>
      <color rgb="FF46AFE6"/>
      <color rgb="FF005591"/>
      <color rgb="FF8C969B"/>
      <color rgb="FF91C864"/>
      <color rgb="FF057D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9.7055479177086165E-2"/>
          <c:y val="6.4361467178293677E-2"/>
          <c:w val="0.86752788713910756"/>
          <c:h val="0.63998052577528064"/>
        </c:manualLayout>
      </c:layout>
      <c:barChart>
        <c:barDir val="col"/>
        <c:grouping val="clustered"/>
        <c:varyColors val="0"/>
        <c:ser>
          <c:idx val="1"/>
          <c:order val="0"/>
          <c:tx>
            <c:strRef>
              <c:f>'Individual banks'!$H$4:$J$4</c:f>
              <c:strCache>
                <c:ptCount val="3"/>
                <c:pt idx="0">
                  <c:v>Adverse scenario</c:v>
                </c:pt>
              </c:strCache>
            </c:strRef>
          </c:tx>
          <c:spPr>
            <a:solidFill>
              <a:srgbClr val="7D0532"/>
            </a:solidFill>
          </c:spPr>
          <c:invertIfNegative val="0"/>
          <c:dLbls>
            <c:dLbl>
              <c:idx val="0"/>
              <c:numFmt formatCode="#,##0" sourceLinked="0"/>
              <c:spPr>
                <a:noFill/>
                <a:ln>
                  <a:noFill/>
                </a:ln>
                <a:effectLst/>
              </c:spPr>
              <c:txPr>
                <a:bodyPr wrap="square" lIns="38100" tIns="19050" rIns="38100" bIns="19050" anchor="ctr">
                  <a:spAutoFit/>
                </a:bodyPr>
                <a:lstStyle/>
                <a:p>
                  <a:pPr>
                    <a:defRPr>
                      <a:solidFill>
                        <a:sysClr val="windowText" lastClr="000000"/>
                      </a:solidFill>
                    </a:defRPr>
                  </a:pPr>
                  <a:endParaRPr lang="uk-UA"/>
                </a:p>
              </c:txPr>
              <c:dLblPos val="inEnd"/>
              <c:showLegendKey val="0"/>
              <c:showVal val="1"/>
              <c:showCatName val="0"/>
              <c:showSerName val="0"/>
              <c:showPercent val="0"/>
              <c:showBubbleSize val="0"/>
              <c:extLst>
                <c:ext xmlns:c16="http://schemas.microsoft.com/office/drawing/2014/chart" uri="{C3380CC4-5D6E-409C-BE32-E72D297353CC}">
                  <c16:uniqueId val="{00000000-232D-4016-9B22-85E6A1E0971B}"/>
                </c:ext>
              </c:extLst>
            </c:dLbl>
            <c:numFmt formatCode="#,##0" sourceLinked="0"/>
            <c:spPr>
              <a:noFill/>
              <a:ln>
                <a:noFill/>
              </a:ln>
              <a:effectLst/>
            </c:spPr>
            <c:txPr>
              <a:bodyPr wrap="square" lIns="38100" tIns="19050" rIns="38100" bIns="19050" anchor="ctr">
                <a:spAutoFit/>
              </a:bodyPr>
              <a:lstStyle/>
              <a:p>
                <a:pPr>
                  <a:defRPr>
                    <a:solidFill>
                      <a:schemeClr val="bg1"/>
                    </a:solidFill>
                  </a:defRPr>
                </a:pPr>
                <a:endParaRPr lang="uk-UA"/>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('Individual banks'!$D$4,'Individual banks'!$H$5:$J$5)</c:f>
              <c:strCache>
                <c:ptCount val="4"/>
                <c:pt idx="0">
                  <c:v>AQR as of 01.01.18</c:v>
                </c:pt>
                <c:pt idx="1">
                  <c:v>1st</c:v>
                </c:pt>
                <c:pt idx="2">
                  <c:v>2nd</c:v>
                </c:pt>
                <c:pt idx="3">
                  <c:v>3rd</c:v>
                </c:pt>
              </c:strCache>
            </c:strRef>
          </c:cat>
          <c:val>
            <c:numRef>
              <c:f>('Individual banks'!$D$12,'Individual banks'!$H$12:$J$12)</c:f>
              <c:numCache>
                <c:formatCode>0</c:formatCode>
                <c:ptCount val="4"/>
                <c:pt idx="0">
                  <c:v>0</c:v>
                </c:pt>
                <c:pt idx="1">
                  <c:v>0</c:v>
                </c:pt>
                <c:pt idx="2">
                  <c:v>0</c:v>
                </c:pt>
                <c:pt idx="3">
                  <c:v>0</c:v>
                </c:pt>
              </c:numCache>
            </c:numRef>
          </c:val>
          <c:extLst>
            <c:ext xmlns:c16="http://schemas.microsoft.com/office/drawing/2014/chart" uri="{C3380CC4-5D6E-409C-BE32-E72D297353CC}">
              <c16:uniqueId val="{00000001-232D-4016-9B22-85E6A1E0971B}"/>
            </c:ext>
          </c:extLst>
        </c:ser>
        <c:ser>
          <c:idx val="0"/>
          <c:order val="1"/>
          <c:tx>
            <c:strRef>
              <c:f>'Individual banks'!$E$4:$G$4</c:f>
              <c:strCache>
                <c:ptCount val="3"/>
                <c:pt idx="0">
                  <c:v>Baseline scenario</c:v>
                </c:pt>
              </c:strCache>
            </c:strRef>
          </c:tx>
          <c:spPr>
            <a:solidFill>
              <a:srgbClr val="057D46"/>
            </a:solidFill>
          </c:spPr>
          <c:invertIfNegative val="0"/>
          <c:dLbls>
            <c:dLbl>
              <c:idx val="0"/>
              <c:numFmt formatCode="#,##0" sourceLinked="0"/>
              <c:spPr>
                <a:noFill/>
                <a:ln>
                  <a:noFill/>
                </a:ln>
                <a:effectLst/>
              </c:spPr>
              <c:txPr>
                <a:bodyPr wrap="square" lIns="38100" tIns="19050" rIns="38100" bIns="19050" anchor="ctr">
                  <a:spAutoFit/>
                </a:bodyPr>
                <a:lstStyle/>
                <a:p>
                  <a:pPr>
                    <a:defRPr>
                      <a:solidFill>
                        <a:sysClr val="windowText" lastClr="000000"/>
                      </a:solidFill>
                    </a:defRPr>
                  </a:pPr>
                  <a:endParaRPr lang="uk-UA"/>
                </a:p>
              </c:txPr>
              <c:dLblPos val="inEnd"/>
              <c:showLegendKey val="0"/>
              <c:showVal val="1"/>
              <c:showCatName val="0"/>
              <c:showSerName val="0"/>
              <c:showPercent val="0"/>
              <c:showBubbleSize val="0"/>
              <c:extLst>
                <c:ext xmlns:c16="http://schemas.microsoft.com/office/drawing/2014/chart" uri="{C3380CC4-5D6E-409C-BE32-E72D297353CC}">
                  <c16:uniqueId val="{00000002-232D-4016-9B22-85E6A1E0971B}"/>
                </c:ext>
              </c:extLst>
            </c:dLbl>
            <c:dLbl>
              <c:idx val="1"/>
              <c:numFmt formatCode="#,##0" sourceLinked="0"/>
              <c:spPr>
                <a:noFill/>
                <a:ln>
                  <a:noFill/>
                </a:ln>
                <a:effectLst/>
              </c:spPr>
              <c:txPr>
                <a:bodyPr wrap="square" lIns="38100" tIns="19050" rIns="38100" bIns="19050" anchor="ctr">
                  <a:spAutoFit/>
                </a:bodyPr>
                <a:lstStyle/>
                <a:p>
                  <a:pPr>
                    <a:defRPr>
                      <a:solidFill>
                        <a:sysClr val="windowText" lastClr="000000"/>
                      </a:solidFill>
                    </a:defRPr>
                  </a:pPr>
                  <a:endParaRPr lang="uk-UA"/>
                </a:p>
              </c:txPr>
              <c:dLblPos val="inEnd"/>
              <c:showLegendKey val="0"/>
              <c:showVal val="1"/>
              <c:showCatName val="0"/>
              <c:showSerName val="0"/>
              <c:showPercent val="0"/>
              <c:showBubbleSize val="0"/>
              <c:extLst>
                <c:ext xmlns:c16="http://schemas.microsoft.com/office/drawing/2014/chart" uri="{C3380CC4-5D6E-409C-BE32-E72D297353CC}">
                  <c16:uniqueId val="{00000003-232D-4016-9B22-85E6A1E0971B}"/>
                </c:ext>
              </c:extLst>
            </c:dLbl>
            <c:numFmt formatCode="#,##0" sourceLinked="0"/>
            <c:spPr>
              <a:noFill/>
              <a:ln>
                <a:noFill/>
              </a:ln>
              <a:effectLst/>
            </c:spPr>
            <c:txPr>
              <a:bodyPr wrap="square" lIns="38100" tIns="19050" rIns="38100" bIns="19050" anchor="ctr">
                <a:spAutoFit/>
              </a:bodyPr>
              <a:lstStyle/>
              <a:p>
                <a:pPr>
                  <a:defRPr>
                    <a:solidFill>
                      <a:schemeClr val="bg1"/>
                    </a:solidFill>
                  </a:defRPr>
                </a:pPr>
                <a:endParaRPr lang="uk-UA"/>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('Individual banks'!$D$4,'Individual banks'!$H$5:$J$5)</c:f>
              <c:strCache>
                <c:ptCount val="4"/>
                <c:pt idx="0">
                  <c:v>AQR as of 01.01.18</c:v>
                </c:pt>
                <c:pt idx="1">
                  <c:v>1st</c:v>
                </c:pt>
                <c:pt idx="2">
                  <c:v>2nd</c:v>
                </c:pt>
                <c:pt idx="3">
                  <c:v>3rd</c:v>
                </c:pt>
              </c:strCache>
            </c:strRef>
          </c:cat>
          <c:val>
            <c:numRef>
              <c:f>'Individual banks'!$D$12:$G$12</c:f>
              <c:numCache>
                <c:formatCode>0</c:formatCode>
                <c:ptCount val="4"/>
                <c:pt idx="0">
                  <c:v>0</c:v>
                </c:pt>
                <c:pt idx="1">
                  <c:v>0</c:v>
                </c:pt>
                <c:pt idx="2">
                  <c:v>0</c:v>
                </c:pt>
                <c:pt idx="3">
                  <c:v>0</c:v>
                </c:pt>
              </c:numCache>
            </c:numRef>
          </c:val>
          <c:extLst>
            <c:ext xmlns:c16="http://schemas.microsoft.com/office/drawing/2014/chart" uri="{C3380CC4-5D6E-409C-BE32-E72D297353CC}">
              <c16:uniqueId val="{00000004-232D-4016-9B22-85E6A1E0971B}"/>
            </c:ext>
          </c:extLst>
        </c:ser>
        <c:dLbls>
          <c:showLegendKey val="0"/>
          <c:showVal val="1"/>
          <c:showCatName val="0"/>
          <c:showSerName val="0"/>
          <c:showPercent val="0"/>
          <c:showBubbleSize val="0"/>
        </c:dLbls>
        <c:gapWidth val="70"/>
        <c:axId val="409803832"/>
        <c:axId val="409802192"/>
      </c:barChart>
      <c:catAx>
        <c:axId val="409803832"/>
        <c:scaling>
          <c:orientation val="minMax"/>
        </c:scaling>
        <c:delete val="0"/>
        <c:axPos val="b"/>
        <c:numFmt formatCode="[$-409]mm\.yy;@" sourceLinked="0"/>
        <c:majorTickMark val="in"/>
        <c:minorTickMark val="none"/>
        <c:tickLblPos val="low"/>
        <c:spPr>
          <a:noFill/>
          <a:ln w="3175" cap="flat" cmpd="sng" algn="ctr">
            <a:solidFill>
              <a:srgbClr val="8C969B"/>
            </a:solidFill>
            <a:prstDash val="solid"/>
            <a:round/>
          </a:ln>
          <a:effectLst/>
        </c:spPr>
        <c:txPr>
          <a:bodyPr rot="0" vert="horz"/>
          <a:lstStyle/>
          <a:p>
            <a:pPr>
              <a:defRPr sz="750">
                <a:latin typeface="Arial"/>
                <a:ea typeface="Arial"/>
                <a:cs typeface="Arial"/>
              </a:defRPr>
            </a:pPr>
            <a:endParaRPr lang="uk-UA"/>
          </a:p>
        </c:txPr>
        <c:crossAx val="409802192"/>
        <c:crosses val="autoZero"/>
        <c:auto val="1"/>
        <c:lblAlgn val="ctr"/>
        <c:lblOffset val="100"/>
        <c:noMultiLvlLbl val="0"/>
      </c:catAx>
      <c:valAx>
        <c:axId val="40980219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cap="flat" cmpd="sng" algn="ctr">
            <a:solidFill>
              <a:srgbClr val="505050"/>
            </a:solidFill>
            <a:prstDash val="solid"/>
            <a:round/>
          </a:ln>
          <a:effectLst/>
          <a:extLst/>
        </c:spPr>
        <c:txPr>
          <a:bodyPr rot="0" vert="horz"/>
          <a:lstStyle/>
          <a:p>
            <a:pPr>
              <a:defRPr sz="750">
                <a:latin typeface="Arial"/>
                <a:ea typeface="Arial"/>
                <a:cs typeface="Arial"/>
              </a:defRPr>
            </a:pPr>
            <a:endParaRPr lang="uk-UA"/>
          </a:p>
        </c:txPr>
        <c:crossAx val="409803832"/>
        <c:crosses val="autoZero"/>
        <c:crossBetween val="between"/>
      </c:valAx>
      <c:spPr>
        <a:noFill/>
        <a:ln w="9525">
          <a:solidFill>
            <a:srgbClr val="505050"/>
          </a:solidFill>
        </a:ln>
        <a:effectLst/>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0"/>
          <c:y val="0.86808673609944453"/>
          <c:w val="0.96250000000000002"/>
          <c:h val="8.4745762711864403E-2"/>
        </c:manualLayout>
      </c:layout>
      <c:overlay val="0"/>
      <c:spPr>
        <a:noFill/>
        <a:ln>
          <a:noFill/>
        </a:ln>
        <a:effectLst/>
        <a:extLst>
          <a:ext uri="{91240B29-F687-4F45-9708-019B960494DF}">
            <a14:hiddenLine xmlns:a14="http://schemas.microsoft.com/office/drawing/2010/main">
              <a:noFill/>
            </a14:hiddenLine>
          </a:ext>
        </a:extLst>
      </c:spPr>
      <c:txPr>
        <a:bodyPr/>
        <a:lstStyle/>
        <a:p>
          <a:pPr>
            <a:defRPr sz="750">
              <a:latin typeface="Arial"/>
              <a:ea typeface="Arial"/>
              <a:cs typeface="Arial"/>
            </a:defRPr>
          </a:pPr>
          <a:endParaRPr lang="uk-UA"/>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rgbClr val="FFFFFF"/>
          </a:solidFill>
        </a14:hiddenFill>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2984729376864124"/>
          <c:y val="4.0509167753591722E-2"/>
          <c:w val="0.83303677663336262"/>
          <c:h val="0.60569996637443624"/>
        </c:manualLayout>
      </c:layout>
      <c:barChart>
        <c:barDir val="col"/>
        <c:grouping val="clustered"/>
        <c:varyColors val="0"/>
        <c:ser>
          <c:idx val="0"/>
          <c:order val="0"/>
          <c:tx>
            <c:strRef>
              <c:f>'Capital need'!$H$4</c:f>
              <c:strCache>
                <c:ptCount val="1"/>
                <c:pt idx="0">
                  <c:v>25</c:v>
                </c:pt>
              </c:strCache>
            </c:strRef>
          </c:tx>
          <c:invertIfNegative val="0"/>
          <c:dPt>
            <c:idx val="0"/>
            <c:invertIfNegative val="0"/>
            <c:bubble3D val="0"/>
            <c:spPr>
              <a:solidFill>
                <a:srgbClr val="7D0532"/>
              </a:solidFill>
            </c:spPr>
            <c:extLst>
              <c:ext xmlns:c16="http://schemas.microsoft.com/office/drawing/2014/chart" uri="{C3380CC4-5D6E-409C-BE32-E72D297353CC}">
                <c16:uniqueId val="{00000006-97B9-4B02-925C-78D04785D5C2}"/>
              </c:ext>
            </c:extLst>
          </c:dPt>
          <c:dPt>
            <c:idx val="1"/>
            <c:invertIfNegative val="0"/>
            <c:bubble3D val="0"/>
            <c:spPr>
              <a:solidFill>
                <a:srgbClr val="005591"/>
              </a:solidFill>
            </c:spPr>
            <c:extLst>
              <c:ext xmlns:c16="http://schemas.microsoft.com/office/drawing/2014/chart" uri="{C3380CC4-5D6E-409C-BE32-E72D297353CC}">
                <c16:uniqueId val="{00000007-97B9-4B02-925C-78D04785D5C2}"/>
              </c:ext>
            </c:extLst>
          </c:dPt>
          <c:dPt>
            <c:idx val="2"/>
            <c:invertIfNegative val="0"/>
            <c:bubble3D val="0"/>
            <c:spPr>
              <a:solidFill>
                <a:srgbClr val="C84B64"/>
              </a:solidFill>
            </c:spPr>
            <c:extLst>
              <c:ext xmlns:c16="http://schemas.microsoft.com/office/drawing/2014/chart" uri="{C3380CC4-5D6E-409C-BE32-E72D297353CC}">
                <c16:uniqueId val="{0000000C-97B9-4B02-925C-78D04785D5C2}"/>
              </c:ext>
            </c:extLst>
          </c:dPt>
          <c:dPt>
            <c:idx val="3"/>
            <c:invertIfNegative val="0"/>
            <c:bubble3D val="0"/>
            <c:spPr>
              <a:solidFill>
                <a:srgbClr val="46AFE6"/>
              </a:solidFill>
            </c:spPr>
            <c:extLst>
              <c:ext xmlns:c16="http://schemas.microsoft.com/office/drawing/2014/chart" uri="{C3380CC4-5D6E-409C-BE32-E72D297353CC}">
                <c16:uniqueId val="{0000000D-97B9-4B02-925C-78D04785D5C2}"/>
              </c:ext>
            </c:extLst>
          </c:dPt>
          <c:dLbls>
            <c:spPr>
              <a:noFill/>
              <a:ln>
                <a:noFill/>
              </a:ln>
              <a:effectLst/>
            </c:spPr>
            <c:txPr>
              <a:bodyPr wrap="square" lIns="38100" tIns="19050" rIns="38100" bIns="19050" anchor="ctr">
                <a:spAutoFit/>
              </a:bodyPr>
              <a:lstStyle/>
              <a:p>
                <a:pPr>
                  <a:defRPr>
                    <a:solidFill>
                      <a:schemeClr val="bg1"/>
                    </a:solidFill>
                  </a:defRPr>
                </a:pPr>
                <a:endParaRPr lang="uk-UA"/>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'Capital need'!$D$6:$E$9</c:f>
              <c:multiLvlStrCache>
                <c:ptCount val="4"/>
                <c:lvl>
                  <c:pt idx="0">
                    <c:v>total</c:v>
                  </c:pt>
                  <c:pt idx="1">
                    <c:v>after measures taken</c:v>
                  </c:pt>
                  <c:pt idx="2">
                    <c:v>total</c:v>
                  </c:pt>
                  <c:pt idx="3">
                    <c:v>after measures taken</c:v>
                  </c:pt>
                </c:lvl>
                <c:lvl>
                  <c:pt idx="0">
                    <c:v>capitalization program till 01.04.19</c:v>
                  </c:pt>
                  <c:pt idx="2">
                    <c:v>restructuring plan till 31.12.19</c:v>
                  </c:pt>
                </c:lvl>
              </c:multiLvlStrCache>
            </c:multiLvlStrRef>
          </c:cat>
          <c:val>
            <c:numRef>
              <c:f>'Capital need'!$H$6:$H$9</c:f>
              <c:numCache>
                <c:formatCode>#,##0</c:formatCode>
                <c:ptCount val="4"/>
                <c:pt idx="0">
                  <c:v>0</c:v>
                </c:pt>
                <c:pt idx="1">
                  <c:v>0</c:v>
                </c:pt>
                <c:pt idx="2">
                  <c:v>0</c:v>
                </c:pt>
                <c:pt idx="3">
                  <c:v>0</c:v>
                </c:pt>
              </c:numCache>
            </c:numRef>
          </c:val>
          <c:extLst>
            <c:ext xmlns:c16="http://schemas.microsoft.com/office/drawing/2014/chart" uri="{C3380CC4-5D6E-409C-BE32-E72D297353CC}">
              <c16:uniqueId val="{00000000-97B9-4B02-925C-78D04785D5C2}"/>
            </c:ext>
          </c:extLst>
        </c:ser>
        <c:dLbls>
          <c:showLegendKey val="0"/>
          <c:showVal val="1"/>
          <c:showCatName val="0"/>
          <c:showSerName val="0"/>
          <c:showPercent val="0"/>
          <c:showBubbleSize val="0"/>
        </c:dLbls>
        <c:gapWidth val="70"/>
        <c:axId val="409803832"/>
        <c:axId val="409802192"/>
      </c:barChart>
      <c:catAx>
        <c:axId val="4098038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ln>
          <a:effectLst/>
        </c:spPr>
        <c:txPr>
          <a:bodyPr rot="0" vert="horz"/>
          <a:lstStyle/>
          <a:p>
            <a:pPr>
              <a:defRPr sz="750">
                <a:latin typeface="Arial"/>
                <a:ea typeface="Arial"/>
                <a:cs typeface="Arial"/>
              </a:defRPr>
            </a:pPr>
            <a:endParaRPr lang="uk-UA"/>
          </a:p>
        </c:txPr>
        <c:crossAx val="409802192"/>
        <c:crosses val="autoZero"/>
        <c:auto val="1"/>
        <c:lblAlgn val="ctr"/>
        <c:lblOffset val="100"/>
        <c:noMultiLvlLbl val="0"/>
      </c:catAx>
      <c:valAx>
        <c:axId val="40980219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cap="flat" cmpd="sng" algn="ctr">
            <a:solidFill>
              <a:srgbClr val="505050"/>
            </a:solidFill>
            <a:prstDash val="solid"/>
            <a:round/>
          </a:ln>
          <a:effectLst/>
          <a:extLst/>
        </c:spPr>
        <c:txPr>
          <a:bodyPr rot="0" vert="horz"/>
          <a:lstStyle/>
          <a:p>
            <a:pPr>
              <a:defRPr sz="750">
                <a:latin typeface="Arial"/>
                <a:ea typeface="Arial"/>
                <a:cs typeface="Arial"/>
              </a:defRPr>
            </a:pPr>
            <a:endParaRPr lang="uk-UA"/>
          </a:p>
        </c:txPr>
        <c:crossAx val="409803832"/>
        <c:crosses val="autoZero"/>
        <c:crossBetween val="between"/>
      </c:valAx>
      <c:spPr>
        <a:noFill/>
        <a:ln w="9525">
          <a:solidFill>
            <a:srgbClr val="505050"/>
          </a:solidFill>
        </a:ln>
        <a:effectLst/>
        <a:extLst>
          <a:ext uri="{909E8E84-426E-40DD-AFC4-6F175D3DCCD1}">
            <a14:hiddenFill xmlns:a14="http://schemas.microsoft.com/office/drawing/2010/main">
              <a:solidFill>
                <a:sysClr val="window" lastClr="FFFFFF"/>
              </a:solidFill>
            </a14:hiddenFill>
          </a:ext>
        </a:extLst>
      </c:spPr>
    </c:plotArea>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rgbClr val="FFFFFF"/>
          </a:solidFill>
        </a14:hiddenFill>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2984729376864124"/>
          <c:y val="4.0509167753591722E-2"/>
          <c:w val="0.83303677663336262"/>
          <c:h val="0.60569996637443624"/>
        </c:manualLayout>
      </c:layout>
      <c:barChart>
        <c:barDir val="col"/>
        <c:grouping val="clustered"/>
        <c:varyColors val="0"/>
        <c:ser>
          <c:idx val="0"/>
          <c:order val="0"/>
          <c:tx>
            <c:strRef>
              <c:f>'Capital need'!$J$4</c:f>
              <c:strCache>
                <c:ptCount val="1"/>
                <c:pt idx="0">
                  <c:v>25</c:v>
                </c:pt>
              </c:strCache>
            </c:strRef>
          </c:tx>
          <c:invertIfNegative val="0"/>
          <c:dPt>
            <c:idx val="0"/>
            <c:invertIfNegative val="0"/>
            <c:bubble3D val="0"/>
            <c:spPr>
              <a:solidFill>
                <a:srgbClr val="7D0532"/>
              </a:solidFill>
            </c:spPr>
            <c:extLst>
              <c:ext xmlns:c16="http://schemas.microsoft.com/office/drawing/2014/chart" uri="{C3380CC4-5D6E-409C-BE32-E72D297353CC}">
                <c16:uniqueId val="{00000001-BE88-415A-A6F6-4847A3BB0482}"/>
              </c:ext>
            </c:extLst>
          </c:dPt>
          <c:dPt>
            <c:idx val="1"/>
            <c:invertIfNegative val="0"/>
            <c:bubble3D val="0"/>
            <c:spPr>
              <a:solidFill>
                <a:srgbClr val="005591"/>
              </a:solidFill>
            </c:spPr>
            <c:extLst>
              <c:ext xmlns:c16="http://schemas.microsoft.com/office/drawing/2014/chart" uri="{C3380CC4-5D6E-409C-BE32-E72D297353CC}">
                <c16:uniqueId val="{00000002-BE88-415A-A6F6-4847A3BB0482}"/>
              </c:ext>
            </c:extLst>
          </c:dPt>
          <c:dPt>
            <c:idx val="2"/>
            <c:invertIfNegative val="0"/>
            <c:bubble3D val="0"/>
            <c:spPr>
              <a:solidFill>
                <a:srgbClr val="C84B64"/>
              </a:solidFill>
            </c:spPr>
            <c:extLst>
              <c:ext xmlns:c16="http://schemas.microsoft.com/office/drawing/2014/chart" uri="{C3380CC4-5D6E-409C-BE32-E72D297353CC}">
                <c16:uniqueId val="{00000003-BE88-415A-A6F6-4847A3BB0482}"/>
              </c:ext>
            </c:extLst>
          </c:dPt>
          <c:dPt>
            <c:idx val="3"/>
            <c:invertIfNegative val="0"/>
            <c:bubble3D val="0"/>
            <c:spPr>
              <a:solidFill>
                <a:srgbClr val="46AFE6"/>
              </a:solidFill>
            </c:spPr>
            <c:extLst>
              <c:ext xmlns:c16="http://schemas.microsoft.com/office/drawing/2014/chart" uri="{C3380CC4-5D6E-409C-BE32-E72D297353CC}">
                <c16:uniqueId val="{00000004-BE88-415A-A6F6-4847A3BB0482}"/>
              </c:ext>
            </c:extLst>
          </c:dPt>
          <c:dLbls>
            <c:spPr>
              <a:noFill/>
              <a:ln>
                <a:noFill/>
              </a:ln>
              <a:effectLst/>
            </c:spPr>
            <c:txPr>
              <a:bodyPr wrap="square" lIns="38100" tIns="19050" rIns="38100" bIns="19050" anchor="ctr">
                <a:spAutoFit/>
              </a:bodyPr>
              <a:lstStyle/>
              <a:p>
                <a:pPr>
                  <a:defRPr>
                    <a:solidFill>
                      <a:schemeClr val="bg1"/>
                    </a:solidFill>
                  </a:defRPr>
                </a:pPr>
                <a:endParaRPr lang="uk-UA"/>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'Capital need'!$D$6:$E$9</c:f>
              <c:multiLvlStrCache>
                <c:ptCount val="4"/>
                <c:lvl>
                  <c:pt idx="0">
                    <c:v>total</c:v>
                  </c:pt>
                  <c:pt idx="1">
                    <c:v>after measures taken</c:v>
                  </c:pt>
                  <c:pt idx="2">
                    <c:v>total</c:v>
                  </c:pt>
                  <c:pt idx="3">
                    <c:v>after measures taken</c:v>
                  </c:pt>
                </c:lvl>
                <c:lvl>
                  <c:pt idx="0">
                    <c:v>capitalization program till 01.04.19</c:v>
                  </c:pt>
                  <c:pt idx="2">
                    <c:v>restructuring plan till 31.12.19</c:v>
                  </c:pt>
                </c:lvl>
              </c:multiLvlStrCache>
            </c:multiLvlStrRef>
          </c:cat>
          <c:val>
            <c:numRef>
              <c:f>'Capital need'!$J$6:$J$9</c:f>
              <c:numCache>
                <c:formatCode>#,##0</c:formatCode>
                <c:ptCount val="4"/>
                <c:pt idx="0">
                  <c:v>0</c:v>
                </c:pt>
                <c:pt idx="1">
                  <c:v>0</c:v>
                </c:pt>
                <c:pt idx="2">
                  <c:v>0</c:v>
                </c:pt>
                <c:pt idx="3">
                  <c:v>0</c:v>
                </c:pt>
              </c:numCache>
            </c:numRef>
          </c:val>
          <c:extLst>
            <c:ext xmlns:c16="http://schemas.microsoft.com/office/drawing/2014/chart" uri="{C3380CC4-5D6E-409C-BE32-E72D297353CC}">
              <c16:uniqueId val="{00000000-BE88-415A-A6F6-4847A3BB0482}"/>
            </c:ext>
          </c:extLst>
        </c:ser>
        <c:dLbls>
          <c:showLegendKey val="0"/>
          <c:showVal val="1"/>
          <c:showCatName val="0"/>
          <c:showSerName val="0"/>
          <c:showPercent val="0"/>
          <c:showBubbleSize val="0"/>
        </c:dLbls>
        <c:gapWidth val="70"/>
        <c:axId val="409803832"/>
        <c:axId val="409802192"/>
      </c:barChart>
      <c:catAx>
        <c:axId val="4098038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ln>
          <a:effectLst/>
        </c:spPr>
        <c:txPr>
          <a:bodyPr rot="0" vert="horz"/>
          <a:lstStyle/>
          <a:p>
            <a:pPr>
              <a:defRPr sz="750">
                <a:latin typeface="Arial"/>
                <a:ea typeface="Arial"/>
                <a:cs typeface="Arial"/>
              </a:defRPr>
            </a:pPr>
            <a:endParaRPr lang="uk-UA"/>
          </a:p>
        </c:txPr>
        <c:crossAx val="409802192"/>
        <c:crosses val="autoZero"/>
        <c:auto val="1"/>
        <c:lblAlgn val="ctr"/>
        <c:lblOffset val="100"/>
        <c:noMultiLvlLbl val="0"/>
      </c:catAx>
      <c:valAx>
        <c:axId val="40980219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cap="flat" cmpd="sng" algn="ctr">
            <a:solidFill>
              <a:srgbClr val="505050"/>
            </a:solidFill>
            <a:prstDash val="solid"/>
            <a:round/>
          </a:ln>
          <a:effectLst/>
          <a:extLst/>
        </c:spPr>
        <c:txPr>
          <a:bodyPr rot="0" vert="horz"/>
          <a:lstStyle/>
          <a:p>
            <a:pPr>
              <a:defRPr sz="750">
                <a:latin typeface="Arial"/>
                <a:ea typeface="Arial"/>
                <a:cs typeface="Arial"/>
              </a:defRPr>
            </a:pPr>
            <a:endParaRPr lang="uk-UA"/>
          </a:p>
        </c:txPr>
        <c:crossAx val="409803832"/>
        <c:crosses val="autoZero"/>
        <c:crossBetween val="between"/>
      </c:valAx>
      <c:spPr>
        <a:noFill/>
        <a:ln w="9525">
          <a:solidFill>
            <a:srgbClr val="505050"/>
          </a:solidFill>
        </a:ln>
        <a:effectLst/>
        <a:extLst>
          <a:ext uri="{909E8E84-426E-40DD-AFC4-6F175D3DCCD1}">
            <a14:hiddenFill xmlns:a14="http://schemas.microsoft.com/office/drawing/2010/main">
              <a:solidFill>
                <a:sysClr val="window" lastClr="FFFFFF"/>
              </a:solidFill>
            </a14:hiddenFill>
          </a:ext>
        </a:extLst>
      </c:spPr>
    </c:plotArea>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rgbClr val="FFFFFF"/>
          </a:solidFill>
        </a14:hiddenFill>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2984729376864124"/>
          <c:y val="4.0509167753591722E-2"/>
          <c:w val="0.83303677663336262"/>
          <c:h val="0.60569996637443624"/>
        </c:manualLayout>
      </c:layout>
      <c:barChart>
        <c:barDir val="col"/>
        <c:grouping val="clustered"/>
        <c:varyColors val="0"/>
        <c:ser>
          <c:idx val="0"/>
          <c:order val="0"/>
          <c:tx>
            <c:strRef>
              <c:f>'Capital need'!$L$4</c:f>
              <c:strCache>
                <c:ptCount val="1"/>
                <c:pt idx="0">
                  <c:v>25</c:v>
                </c:pt>
              </c:strCache>
            </c:strRef>
          </c:tx>
          <c:invertIfNegative val="0"/>
          <c:dPt>
            <c:idx val="0"/>
            <c:invertIfNegative val="0"/>
            <c:bubble3D val="0"/>
            <c:spPr>
              <a:solidFill>
                <a:srgbClr val="7D0532"/>
              </a:solidFill>
            </c:spPr>
            <c:extLst>
              <c:ext xmlns:c16="http://schemas.microsoft.com/office/drawing/2014/chart" uri="{C3380CC4-5D6E-409C-BE32-E72D297353CC}">
                <c16:uniqueId val="{00000002-D08F-4964-A1F4-697EE5E75748}"/>
              </c:ext>
            </c:extLst>
          </c:dPt>
          <c:dPt>
            <c:idx val="1"/>
            <c:invertIfNegative val="0"/>
            <c:bubble3D val="0"/>
            <c:spPr>
              <a:solidFill>
                <a:srgbClr val="005591"/>
              </a:solidFill>
            </c:spPr>
            <c:extLst>
              <c:ext xmlns:c16="http://schemas.microsoft.com/office/drawing/2014/chart" uri="{C3380CC4-5D6E-409C-BE32-E72D297353CC}">
                <c16:uniqueId val="{00000009-D08F-4964-A1F4-697EE5E75748}"/>
              </c:ext>
            </c:extLst>
          </c:dPt>
          <c:dPt>
            <c:idx val="2"/>
            <c:invertIfNegative val="0"/>
            <c:bubble3D val="0"/>
            <c:spPr>
              <a:solidFill>
                <a:srgbClr val="C84B64"/>
              </a:solidFill>
            </c:spPr>
            <c:extLst>
              <c:ext xmlns:c16="http://schemas.microsoft.com/office/drawing/2014/chart" uri="{C3380CC4-5D6E-409C-BE32-E72D297353CC}">
                <c16:uniqueId val="{0000000A-D08F-4964-A1F4-697EE5E75748}"/>
              </c:ext>
            </c:extLst>
          </c:dPt>
          <c:dPt>
            <c:idx val="3"/>
            <c:invertIfNegative val="0"/>
            <c:bubble3D val="0"/>
            <c:spPr>
              <a:solidFill>
                <a:srgbClr val="46AFE6"/>
              </a:solidFill>
            </c:spPr>
            <c:extLst>
              <c:ext xmlns:c16="http://schemas.microsoft.com/office/drawing/2014/chart" uri="{C3380CC4-5D6E-409C-BE32-E72D297353CC}">
                <c16:uniqueId val="{0000000E-D08F-4964-A1F4-697EE5E75748}"/>
              </c:ext>
            </c:extLst>
          </c:dPt>
          <c:dLbls>
            <c:spPr>
              <a:noFill/>
              <a:ln>
                <a:noFill/>
              </a:ln>
              <a:effectLst/>
            </c:spPr>
            <c:txPr>
              <a:bodyPr wrap="square" lIns="38100" tIns="19050" rIns="38100" bIns="19050" anchor="ctr">
                <a:spAutoFit/>
              </a:bodyPr>
              <a:lstStyle/>
              <a:p>
                <a:pPr>
                  <a:defRPr>
                    <a:solidFill>
                      <a:schemeClr val="bg1"/>
                    </a:solidFill>
                  </a:defRPr>
                </a:pPr>
                <a:endParaRPr lang="uk-UA"/>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'Capital need'!$D$6:$E$9</c:f>
              <c:multiLvlStrCache>
                <c:ptCount val="4"/>
                <c:lvl>
                  <c:pt idx="0">
                    <c:v>total</c:v>
                  </c:pt>
                  <c:pt idx="1">
                    <c:v>after measures taken</c:v>
                  </c:pt>
                  <c:pt idx="2">
                    <c:v>total</c:v>
                  </c:pt>
                  <c:pt idx="3">
                    <c:v>after measures taken</c:v>
                  </c:pt>
                </c:lvl>
                <c:lvl>
                  <c:pt idx="0">
                    <c:v>capitalization program till 01.04.19</c:v>
                  </c:pt>
                  <c:pt idx="2">
                    <c:v>restructuring plan till 31.12.19</c:v>
                  </c:pt>
                </c:lvl>
              </c:multiLvlStrCache>
            </c:multiLvlStrRef>
          </c:cat>
          <c:val>
            <c:numRef>
              <c:f>'Capital need'!$L$6:$L$9</c:f>
              <c:numCache>
                <c:formatCode>#,##0</c:formatCode>
                <c:ptCount val="4"/>
                <c:pt idx="0">
                  <c:v>0</c:v>
                </c:pt>
                <c:pt idx="1">
                  <c:v>0</c:v>
                </c:pt>
                <c:pt idx="2">
                  <c:v>0</c:v>
                </c:pt>
                <c:pt idx="3">
                  <c:v>0</c:v>
                </c:pt>
              </c:numCache>
            </c:numRef>
          </c:val>
          <c:extLst>
            <c:ext xmlns:c16="http://schemas.microsoft.com/office/drawing/2014/chart" uri="{C3380CC4-5D6E-409C-BE32-E72D297353CC}">
              <c16:uniqueId val="{00000000-D08F-4964-A1F4-697EE5E75748}"/>
            </c:ext>
          </c:extLst>
        </c:ser>
        <c:dLbls>
          <c:showLegendKey val="0"/>
          <c:showVal val="1"/>
          <c:showCatName val="0"/>
          <c:showSerName val="0"/>
          <c:showPercent val="0"/>
          <c:showBubbleSize val="0"/>
        </c:dLbls>
        <c:gapWidth val="70"/>
        <c:axId val="409803832"/>
        <c:axId val="409802192"/>
      </c:barChart>
      <c:catAx>
        <c:axId val="4098038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ln>
          <a:effectLst/>
        </c:spPr>
        <c:txPr>
          <a:bodyPr rot="0" vert="horz"/>
          <a:lstStyle/>
          <a:p>
            <a:pPr>
              <a:defRPr sz="750">
                <a:latin typeface="Arial"/>
                <a:ea typeface="Arial"/>
                <a:cs typeface="Arial"/>
              </a:defRPr>
            </a:pPr>
            <a:endParaRPr lang="uk-UA"/>
          </a:p>
        </c:txPr>
        <c:crossAx val="409802192"/>
        <c:crosses val="autoZero"/>
        <c:auto val="1"/>
        <c:lblAlgn val="ctr"/>
        <c:lblOffset val="100"/>
        <c:noMultiLvlLbl val="0"/>
      </c:catAx>
      <c:valAx>
        <c:axId val="40980219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cap="flat" cmpd="sng" algn="ctr">
            <a:solidFill>
              <a:srgbClr val="505050"/>
            </a:solidFill>
            <a:prstDash val="solid"/>
            <a:round/>
          </a:ln>
          <a:effectLst/>
          <a:extLst/>
        </c:spPr>
        <c:txPr>
          <a:bodyPr rot="0" vert="horz"/>
          <a:lstStyle/>
          <a:p>
            <a:pPr>
              <a:defRPr sz="750">
                <a:latin typeface="Arial"/>
                <a:ea typeface="Arial"/>
                <a:cs typeface="Arial"/>
              </a:defRPr>
            </a:pPr>
            <a:endParaRPr lang="uk-UA"/>
          </a:p>
        </c:txPr>
        <c:crossAx val="409803832"/>
        <c:crosses val="autoZero"/>
        <c:crossBetween val="between"/>
      </c:valAx>
      <c:spPr>
        <a:noFill/>
        <a:ln w="9525">
          <a:solidFill>
            <a:srgbClr val="505050"/>
          </a:solidFill>
        </a:ln>
        <a:effectLst/>
        <a:extLst>
          <a:ext uri="{909E8E84-426E-40DD-AFC4-6F175D3DCCD1}">
            <a14:hiddenFill xmlns:a14="http://schemas.microsoft.com/office/drawing/2010/main">
              <a:solidFill>
                <a:sysClr val="window" lastClr="FFFFFF"/>
              </a:solidFill>
            </a14:hiddenFill>
          </a:ext>
        </a:extLst>
      </c:spPr>
    </c:plotArea>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rgbClr val="FFFFFF"/>
          </a:solidFill>
        </a14:hiddenFill>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0778398692810458"/>
          <c:y val="4.4799018103712798E-2"/>
          <c:w val="0.85679914232389698"/>
          <c:h val="0.60514224948579765"/>
        </c:manualLayout>
      </c:layout>
      <c:lineChart>
        <c:grouping val="standard"/>
        <c:varyColors val="0"/>
        <c:ser>
          <c:idx val="0"/>
          <c:order val="0"/>
          <c:tx>
            <c:strRef>
              <c:f>'Individual banks'!$E$4:$G$4</c:f>
              <c:strCache>
                <c:ptCount val="3"/>
                <c:pt idx="0">
                  <c:v>Baseline scenario</c:v>
                </c:pt>
              </c:strCache>
            </c:strRef>
          </c:tx>
          <c:spPr>
            <a:ln w="25400">
              <a:solidFill>
                <a:srgbClr val="057D46"/>
              </a:solidFill>
            </a:ln>
          </c:spPr>
          <c:marker>
            <c:symbol val="none"/>
          </c:marker>
          <c:dLbls>
            <c:numFmt formatCode="0.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('Individual banks'!$C$4:$C$6,'Individual banks'!$D$4,'Individual banks'!$E$5:$G$5)</c:f>
              <c:strCache>
                <c:ptCount val="5"/>
                <c:pt idx="0">
                  <c:v>Bank's data as of 01.01.18</c:v>
                </c:pt>
                <c:pt idx="1">
                  <c:v>AQR as of 01.01.18</c:v>
                </c:pt>
                <c:pt idx="2">
                  <c:v>1st</c:v>
                </c:pt>
                <c:pt idx="3">
                  <c:v>2nd</c:v>
                </c:pt>
                <c:pt idx="4">
                  <c:v>3rd</c:v>
                </c:pt>
              </c:strCache>
            </c:strRef>
          </c:cat>
          <c:val>
            <c:numRef>
              <c:f>'Individual banks'!$C$10:$G$10</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E23B-4059-A716-D1B7D332CD12}"/>
            </c:ext>
          </c:extLst>
        </c:ser>
        <c:ser>
          <c:idx val="1"/>
          <c:order val="1"/>
          <c:tx>
            <c:strRef>
              <c:f>'Individual banks'!$H$4:$J$4</c:f>
              <c:strCache>
                <c:ptCount val="3"/>
                <c:pt idx="0">
                  <c:v>Adverse scenario</c:v>
                </c:pt>
              </c:strCache>
            </c:strRef>
          </c:tx>
          <c:spPr>
            <a:ln w="25400" cmpd="sng">
              <a:solidFill>
                <a:srgbClr val="91C864"/>
              </a:solidFill>
              <a:prstDash val="solid"/>
            </a:ln>
          </c:spPr>
          <c:marker>
            <c:symbol val="none"/>
          </c:marker>
          <c:dPt>
            <c:idx val="1"/>
            <c:bubble3D val="0"/>
            <c:spPr>
              <a:ln w="25400" cmpd="sng">
                <a:solidFill>
                  <a:srgbClr val="91C864"/>
                </a:solidFill>
                <a:prstDash val="dash"/>
              </a:ln>
            </c:spPr>
            <c:extLst>
              <c:ext xmlns:c16="http://schemas.microsoft.com/office/drawing/2014/chart" uri="{C3380CC4-5D6E-409C-BE32-E72D297353CC}">
                <c16:uniqueId val="{00000002-E23B-4059-A716-D1B7D332CD12}"/>
              </c:ext>
            </c:extLst>
          </c:dPt>
          <c:dLbls>
            <c:dLbl>
              <c:idx val="0"/>
              <c:delete val="1"/>
              <c:extLst>
                <c:ext xmlns:c15="http://schemas.microsoft.com/office/drawing/2012/chart" uri="{CE6537A1-D6FC-4f65-9D91-7224C49458BB}"/>
                <c:ext xmlns:c16="http://schemas.microsoft.com/office/drawing/2014/chart" uri="{C3380CC4-5D6E-409C-BE32-E72D297353CC}">
                  <c16:uniqueId val="{00000003-E23B-4059-A716-D1B7D332CD12}"/>
                </c:ext>
              </c:extLst>
            </c:dLbl>
            <c:dLbl>
              <c:idx val="1"/>
              <c:delete val="1"/>
              <c:extLst>
                <c:ext xmlns:c15="http://schemas.microsoft.com/office/drawing/2012/chart" uri="{CE6537A1-D6FC-4f65-9D91-7224C49458BB}"/>
                <c:ext xmlns:c16="http://schemas.microsoft.com/office/drawing/2014/chart" uri="{C3380CC4-5D6E-409C-BE32-E72D297353CC}">
                  <c16:uniqueId val="{00000002-E23B-4059-A716-D1B7D332CD12}"/>
                </c:ext>
              </c:extLst>
            </c:dLbl>
            <c:numFmt formatCode="0.0%" sourceLinked="0"/>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('Individual banks'!$C$4:$C$6,'Individual banks'!$D$4,'Individual banks'!$E$5:$G$5)</c:f>
              <c:strCache>
                <c:ptCount val="5"/>
                <c:pt idx="0">
                  <c:v>Bank's data as of 01.01.18</c:v>
                </c:pt>
                <c:pt idx="1">
                  <c:v>AQR as of 01.01.18</c:v>
                </c:pt>
                <c:pt idx="2">
                  <c:v>1st</c:v>
                </c:pt>
                <c:pt idx="3">
                  <c:v>2nd</c:v>
                </c:pt>
                <c:pt idx="4">
                  <c:v>3rd</c:v>
                </c:pt>
              </c:strCache>
            </c:strRef>
          </c:cat>
          <c:val>
            <c:numRef>
              <c:f>('Individual banks'!$C$10:$D$10,'Individual banks'!$H$10:$J$10)</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6-E23B-4059-A716-D1B7D332CD12}"/>
            </c:ext>
          </c:extLst>
        </c:ser>
        <c:ser>
          <c:idx val="2"/>
          <c:order val="2"/>
          <c:tx>
            <c:strRef>
              <c:f>'Individual banks'!$B$33</c:f>
              <c:strCache>
                <c:ptCount val="1"/>
                <c:pt idx="0">
                  <c:v>Required level of core capital ratio under baseline scenario</c:v>
                </c:pt>
              </c:strCache>
            </c:strRef>
          </c:tx>
          <c:spPr>
            <a:ln w="25400">
              <a:solidFill>
                <a:srgbClr val="7D0532"/>
              </a:solidFill>
              <a:prstDash val="sysDash"/>
            </a:ln>
          </c:spPr>
          <c:marker>
            <c:symbol val="none"/>
          </c:marker>
          <c:cat>
            <c:strRef>
              <c:f>('Individual banks'!$C$4:$C$6,'Individual banks'!$D$4,'Individual banks'!$E$5:$G$5)</c:f>
              <c:strCache>
                <c:ptCount val="5"/>
                <c:pt idx="0">
                  <c:v>Bank's data as of 01.01.18</c:v>
                </c:pt>
                <c:pt idx="1">
                  <c:v>AQR as of 01.01.18</c:v>
                </c:pt>
                <c:pt idx="2">
                  <c:v>1st</c:v>
                </c:pt>
                <c:pt idx="3">
                  <c:v>2nd</c:v>
                </c:pt>
                <c:pt idx="4">
                  <c:v>3rd</c:v>
                </c:pt>
              </c:strCache>
            </c:strRef>
          </c:cat>
          <c:val>
            <c:numRef>
              <c:f>'Individual banks'!$C$11:$G$11</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C-E23B-4059-A716-D1B7D332CD12}"/>
            </c:ext>
          </c:extLst>
        </c:ser>
        <c:ser>
          <c:idx val="3"/>
          <c:order val="3"/>
          <c:tx>
            <c:strRef>
              <c:f>'Individual banks'!$B$34</c:f>
              <c:strCache>
                <c:ptCount val="1"/>
                <c:pt idx="0">
                  <c:v>Required level of core capital ratio under adverse scenario</c:v>
                </c:pt>
              </c:strCache>
            </c:strRef>
          </c:tx>
          <c:spPr>
            <a:ln w="25400">
              <a:solidFill>
                <a:srgbClr val="C84B64"/>
              </a:solidFill>
              <a:prstDash val="sysDash"/>
            </a:ln>
          </c:spPr>
          <c:marker>
            <c:symbol val="none"/>
          </c:marker>
          <c:cat>
            <c:strRef>
              <c:f>('Individual banks'!$C$4:$C$6,'Individual banks'!$D$4,'Individual banks'!$E$5:$G$5)</c:f>
              <c:strCache>
                <c:ptCount val="5"/>
                <c:pt idx="0">
                  <c:v>Bank's data as of 01.01.18</c:v>
                </c:pt>
                <c:pt idx="1">
                  <c:v>AQR as of 01.01.18</c:v>
                </c:pt>
                <c:pt idx="2">
                  <c:v>1st</c:v>
                </c:pt>
                <c:pt idx="3">
                  <c:v>2nd</c:v>
                </c:pt>
                <c:pt idx="4">
                  <c:v>3rd</c:v>
                </c:pt>
              </c:strCache>
            </c:strRef>
          </c:cat>
          <c:val>
            <c:numRef>
              <c:f>('Individual banks'!$H$11:$I$11,'Individual banks'!$H$11:$J$11)</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12-E23B-4059-A716-D1B7D332CD12}"/>
            </c:ext>
          </c:extLst>
        </c:ser>
        <c:dLbls>
          <c:showLegendKey val="0"/>
          <c:showVal val="0"/>
          <c:showCatName val="0"/>
          <c:showSerName val="0"/>
          <c:showPercent val="0"/>
          <c:showBubbleSize val="0"/>
        </c:dLbls>
        <c:smooth val="0"/>
        <c:axId val="409803832"/>
        <c:axId val="409802192"/>
      </c:lineChart>
      <c:catAx>
        <c:axId val="409803832"/>
        <c:scaling>
          <c:orientation val="minMax"/>
        </c:scaling>
        <c:delete val="0"/>
        <c:axPos val="b"/>
        <c:numFmt formatCode="@" sourceLinked="0"/>
        <c:majorTickMark val="in"/>
        <c:minorTickMark val="none"/>
        <c:tickLblPos val="low"/>
        <c:spPr>
          <a:noFill/>
          <a:ln w="9525" cap="flat" cmpd="sng" algn="ctr">
            <a:solidFill>
              <a:srgbClr val="505050"/>
            </a:solidFill>
            <a:prstDash val="solid"/>
            <a:round/>
          </a:ln>
          <a:effectLst/>
        </c:spPr>
        <c:txPr>
          <a:bodyPr rot="0" vert="horz"/>
          <a:lstStyle/>
          <a:p>
            <a:pPr>
              <a:defRPr sz="750">
                <a:latin typeface="Arial"/>
                <a:ea typeface="Arial"/>
                <a:cs typeface="Arial"/>
              </a:defRPr>
            </a:pPr>
            <a:endParaRPr lang="uk-UA"/>
          </a:p>
        </c:txPr>
        <c:crossAx val="409802192"/>
        <c:crosses val="autoZero"/>
        <c:auto val="1"/>
        <c:lblAlgn val="ctr"/>
        <c:lblOffset val="100"/>
        <c:tickLblSkip val="1"/>
        <c:noMultiLvlLbl val="0"/>
      </c:catAx>
      <c:valAx>
        <c:axId val="40980219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cap="flat" cmpd="sng" algn="ctr">
            <a:solidFill>
              <a:srgbClr val="505050"/>
            </a:solidFill>
            <a:prstDash val="solid"/>
            <a:round/>
          </a:ln>
          <a:effectLst/>
          <a:extLst/>
        </c:spPr>
        <c:txPr>
          <a:bodyPr rot="0" vert="horz"/>
          <a:lstStyle/>
          <a:p>
            <a:pPr>
              <a:defRPr sz="750">
                <a:latin typeface="Arial"/>
                <a:ea typeface="Arial"/>
                <a:cs typeface="Arial"/>
              </a:defRPr>
            </a:pPr>
            <a:endParaRPr lang="uk-UA"/>
          </a:p>
        </c:txPr>
        <c:crossAx val="409803832"/>
        <c:crosses val="autoZero"/>
        <c:crossBetween val="between"/>
      </c:valAx>
      <c:spPr>
        <a:noFill/>
        <a:ln w="9525">
          <a:solidFill>
            <a:srgbClr val="505050"/>
          </a:solidFill>
        </a:ln>
        <a:effectLst/>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0"/>
          <c:y val="0.81858910244687333"/>
          <c:w val="0.97916666666666663"/>
          <c:h val="0.18141089755312675"/>
        </c:manualLayout>
      </c:layout>
      <c:overlay val="0"/>
      <c:spPr>
        <a:noFill/>
        <a:ln>
          <a:noFill/>
        </a:ln>
        <a:effectLst/>
        <a:extLst>
          <a:ext uri="{91240B29-F687-4F45-9708-019B960494DF}">
            <a14:hiddenLine xmlns:a14="http://schemas.microsoft.com/office/drawing/2010/main">
              <a:noFill/>
            </a14:hiddenLine>
          </a:ext>
        </a:extLst>
      </c:spPr>
      <c:txPr>
        <a:bodyPr/>
        <a:lstStyle/>
        <a:p>
          <a:pPr>
            <a:defRPr sz="750">
              <a:latin typeface="Arial"/>
              <a:ea typeface="Arial"/>
              <a:cs typeface="Arial"/>
            </a:defRPr>
          </a:pPr>
          <a:endParaRPr lang="uk-UA"/>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rgbClr val="FFFFFF"/>
          </a:solidFill>
        </a14:hiddenFill>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1471723929245686"/>
          <c:y val="3.8783282262340159E-2"/>
          <c:w val="0.85228359612943116"/>
          <c:h val="0.55550802907901475"/>
        </c:manualLayout>
      </c:layout>
      <c:lineChart>
        <c:grouping val="standard"/>
        <c:varyColors val="0"/>
        <c:ser>
          <c:idx val="0"/>
          <c:order val="0"/>
          <c:tx>
            <c:strRef>
              <c:f>'Comparison with group'!$C$5:$F$5</c:f>
              <c:strCache>
                <c:ptCount val="1"/>
              </c:strCache>
            </c:strRef>
          </c:tx>
          <c:spPr>
            <a:ln w="25400" cmpd="sng">
              <a:solidFill>
                <a:srgbClr val="057D46"/>
              </a:solidFill>
              <a:prstDash val="solid"/>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('Comparison with group'!$B$7:$B$8,'Comparison with group'!$B$10:$B$12)</c:f>
              <c:strCache>
                <c:ptCount val="5"/>
                <c:pt idx="0">
                  <c:v>Bank's data as of 01.01.18</c:v>
                </c:pt>
                <c:pt idx="1">
                  <c:v>AQR as of 01.01.18</c:v>
                </c:pt>
                <c:pt idx="2">
                  <c:v>1st</c:v>
                </c:pt>
                <c:pt idx="3">
                  <c:v>2nd</c:v>
                </c:pt>
                <c:pt idx="4">
                  <c:v>3rd</c:v>
                </c:pt>
              </c:strCache>
            </c:strRef>
          </c:cat>
          <c:val>
            <c:numRef>
              <c:f>('Comparison with group'!$F$7:$F$8,'Comparison with group'!$F$10:$F$12)</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FACB-47B8-A121-F2921D6A3942}"/>
            </c:ext>
          </c:extLst>
        </c:ser>
        <c:ser>
          <c:idx val="1"/>
          <c:order val="1"/>
          <c:tx>
            <c:strRef>
              <c:f>'Comparison with group'!$G$5:$J$5</c:f>
              <c:strCache>
                <c:ptCount val="1"/>
                <c:pt idx="0">
                  <c:v>All banks under stress test</c:v>
                </c:pt>
              </c:strCache>
            </c:strRef>
          </c:tx>
          <c:spPr>
            <a:ln w="25400" cmpd="sng">
              <a:solidFill>
                <a:srgbClr val="91C864"/>
              </a:solidFill>
              <a:prstDash val="solid"/>
            </a:ln>
          </c:spPr>
          <c:marker>
            <c:symbol val="none"/>
          </c:marker>
          <c:cat>
            <c:strRef>
              <c:f>('Comparison with group'!$B$7:$B$8,'Comparison with group'!$B$10:$B$12)</c:f>
              <c:strCache>
                <c:ptCount val="5"/>
                <c:pt idx="0">
                  <c:v>Bank's data as of 01.01.18</c:v>
                </c:pt>
                <c:pt idx="1">
                  <c:v>AQR as of 01.01.18</c:v>
                </c:pt>
                <c:pt idx="2">
                  <c:v>1st</c:v>
                </c:pt>
                <c:pt idx="3">
                  <c:v>2nd</c:v>
                </c:pt>
                <c:pt idx="4">
                  <c:v>3rd</c:v>
                </c:pt>
              </c:strCache>
            </c:strRef>
          </c:cat>
          <c:val>
            <c:numRef>
              <c:f>('Comparison with group'!$J$7,'Comparison with group'!$J$8,'Comparison with group'!$J$10:$J$12)</c:f>
              <c:numCache>
                <c:formatCode>0.0%</c:formatCode>
                <c:ptCount val="5"/>
                <c:pt idx="0">
                  <c:v>0.11865250959835233</c:v>
                </c:pt>
                <c:pt idx="1">
                  <c:v>0.10899023347366985</c:v>
                </c:pt>
                <c:pt idx="2">
                  <c:v>0.14085014030465529</c:v>
                </c:pt>
                <c:pt idx="3">
                  <c:v>0.18856031139625637</c:v>
                </c:pt>
                <c:pt idx="4">
                  <c:v>0.24713467239956266</c:v>
                </c:pt>
              </c:numCache>
            </c:numRef>
          </c:val>
          <c:smooth val="0"/>
          <c:extLst>
            <c:ext xmlns:c16="http://schemas.microsoft.com/office/drawing/2014/chart" uri="{C3380CC4-5D6E-409C-BE32-E72D297353CC}">
              <c16:uniqueId val="{00000007-FACB-47B8-A121-F2921D6A3942}"/>
            </c:ext>
          </c:extLst>
        </c:ser>
        <c:ser>
          <c:idx val="3"/>
          <c:order val="2"/>
          <c:tx>
            <c:strRef>
              <c:f>'Comparison with group'!$K$5:$N$5</c:f>
              <c:strCache>
                <c:ptCount val="1"/>
              </c:strCache>
            </c:strRef>
          </c:tx>
          <c:spPr>
            <a:ln w="25400" cmpd="sng">
              <a:solidFill>
                <a:schemeClr val="accent1"/>
              </a:solidFill>
              <a:prstDash val="solid"/>
            </a:ln>
          </c:spPr>
          <c:marker>
            <c:symbol val="none"/>
          </c:marker>
          <c:cat>
            <c:strRef>
              <c:f>('Comparison with group'!$B$7:$B$8,'Comparison with group'!$B$10:$B$12)</c:f>
              <c:strCache>
                <c:ptCount val="5"/>
                <c:pt idx="0">
                  <c:v>Bank's data as of 01.01.18</c:v>
                </c:pt>
                <c:pt idx="1">
                  <c:v>AQR as of 01.01.18</c:v>
                </c:pt>
                <c:pt idx="2">
                  <c:v>1st</c:v>
                </c:pt>
                <c:pt idx="3">
                  <c:v>2nd</c:v>
                </c:pt>
                <c:pt idx="4">
                  <c:v>3rd</c:v>
                </c:pt>
              </c:strCache>
            </c:strRef>
          </c:cat>
          <c:val>
            <c:numRef>
              <c:f>('Comparison with group'!$M$7:$M$8,'Comparison with group'!$M$10:$M$12)</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8-FACB-47B8-A121-F2921D6A3942}"/>
            </c:ext>
          </c:extLst>
        </c:ser>
        <c:ser>
          <c:idx val="2"/>
          <c:order val="3"/>
          <c:tx>
            <c:strRef>
              <c:f>'Comparison with group'!$B$38</c:f>
              <c:strCache>
                <c:ptCount val="1"/>
                <c:pt idx="0">
                  <c:v>Required level of core capital ratio under baseline scenario</c:v>
                </c:pt>
              </c:strCache>
            </c:strRef>
          </c:tx>
          <c:spPr>
            <a:ln w="25400">
              <a:solidFill>
                <a:srgbClr val="C84B64"/>
              </a:solidFill>
              <a:prstDash val="sysDash"/>
            </a:ln>
          </c:spPr>
          <c:marker>
            <c:symbol val="none"/>
          </c:marker>
          <c:cat>
            <c:strRef>
              <c:f>('Comparison with group'!$B$7:$B$8,'Comparison with group'!$B$10:$B$12)</c:f>
              <c:strCache>
                <c:ptCount val="5"/>
                <c:pt idx="0">
                  <c:v>Bank's data as of 01.01.18</c:v>
                </c:pt>
                <c:pt idx="1">
                  <c:v>AQR as of 01.01.18</c:v>
                </c:pt>
                <c:pt idx="2">
                  <c:v>1st</c:v>
                </c:pt>
                <c:pt idx="3">
                  <c:v>2nd</c:v>
                </c:pt>
                <c:pt idx="4">
                  <c:v>3rd</c:v>
                </c:pt>
              </c:strCache>
            </c:strRef>
          </c:cat>
          <c:val>
            <c:numRef>
              <c:f>('Comparison with group'!$O$7:$O$8,'Comparison with group'!$O$10:$O$12)</c:f>
              <c:numCache>
                <c:formatCode>0%</c:formatCode>
                <c:ptCount val="5"/>
                <c:pt idx="0">
                  <c:v>7.0000000000000007E-2</c:v>
                </c:pt>
                <c:pt idx="1">
                  <c:v>7.0000000000000007E-2</c:v>
                </c:pt>
                <c:pt idx="2">
                  <c:v>7.0000000000000007E-2</c:v>
                </c:pt>
                <c:pt idx="3">
                  <c:v>7.0000000000000007E-2</c:v>
                </c:pt>
                <c:pt idx="4">
                  <c:v>7.0000000000000007E-2</c:v>
                </c:pt>
              </c:numCache>
            </c:numRef>
          </c:val>
          <c:smooth val="0"/>
          <c:extLst>
            <c:ext xmlns:c16="http://schemas.microsoft.com/office/drawing/2014/chart" uri="{C3380CC4-5D6E-409C-BE32-E72D297353CC}">
              <c16:uniqueId val="{00000005-FACB-47B8-A121-F2921D6A3942}"/>
            </c:ext>
          </c:extLst>
        </c:ser>
        <c:dLbls>
          <c:showLegendKey val="0"/>
          <c:showVal val="0"/>
          <c:showCatName val="0"/>
          <c:showSerName val="0"/>
          <c:showPercent val="0"/>
          <c:showBubbleSize val="0"/>
        </c:dLbls>
        <c:smooth val="0"/>
        <c:axId val="409803832"/>
        <c:axId val="409802192"/>
      </c:lineChart>
      <c:catAx>
        <c:axId val="4098038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ln>
          <a:effectLst/>
        </c:spPr>
        <c:txPr>
          <a:bodyPr rot="0" vert="horz"/>
          <a:lstStyle/>
          <a:p>
            <a:pPr>
              <a:defRPr sz="750">
                <a:latin typeface="Arial"/>
                <a:ea typeface="Arial"/>
                <a:cs typeface="Arial"/>
              </a:defRPr>
            </a:pPr>
            <a:endParaRPr lang="uk-UA"/>
          </a:p>
        </c:txPr>
        <c:crossAx val="409802192"/>
        <c:crosses val="autoZero"/>
        <c:auto val="1"/>
        <c:lblAlgn val="ctr"/>
        <c:lblOffset val="100"/>
        <c:tickLblSkip val="1"/>
        <c:noMultiLvlLbl val="0"/>
      </c:catAx>
      <c:valAx>
        <c:axId val="40980219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cap="flat" cmpd="sng" algn="ctr">
            <a:solidFill>
              <a:srgbClr val="505050"/>
            </a:solidFill>
            <a:prstDash val="solid"/>
            <a:round/>
          </a:ln>
          <a:effectLst/>
          <a:extLst/>
        </c:spPr>
        <c:txPr>
          <a:bodyPr rot="0" vert="horz"/>
          <a:lstStyle/>
          <a:p>
            <a:pPr>
              <a:defRPr sz="750">
                <a:latin typeface="Arial"/>
                <a:ea typeface="Arial"/>
                <a:cs typeface="Arial"/>
              </a:defRPr>
            </a:pPr>
            <a:endParaRPr lang="uk-UA"/>
          </a:p>
        </c:txPr>
        <c:crossAx val="409803832"/>
        <c:crosses val="autoZero"/>
        <c:crossBetween val="between"/>
      </c:valAx>
      <c:spPr>
        <a:noFill/>
        <a:ln w="9525">
          <a:solidFill>
            <a:srgbClr val="505050"/>
          </a:solidFill>
        </a:ln>
        <a:effectLst/>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0"/>
          <c:y val="0.75832031846733106"/>
          <c:w val="0.96491228070175439"/>
          <c:h val="0.17652795125940168"/>
        </c:manualLayout>
      </c:layout>
      <c:overlay val="0"/>
      <c:spPr>
        <a:noFill/>
        <a:ln>
          <a:noFill/>
        </a:ln>
        <a:effectLst/>
        <a:extLst>
          <a:ext uri="{91240B29-F687-4F45-9708-019B960494DF}">
            <a14:hiddenLine xmlns:a14="http://schemas.microsoft.com/office/drawing/2010/main">
              <a:noFill/>
            </a14:hiddenLine>
          </a:ext>
        </a:extLst>
      </c:spPr>
      <c:txPr>
        <a:bodyPr/>
        <a:lstStyle/>
        <a:p>
          <a:pPr>
            <a:defRPr sz="750">
              <a:latin typeface="Arial"/>
              <a:ea typeface="Arial"/>
              <a:cs typeface="Arial"/>
            </a:defRPr>
          </a:pPr>
          <a:endParaRPr lang="uk-UA"/>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rgbClr val="FFFFFF"/>
          </a:solidFill>
        </a14:hiddenFill>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0778398692810458"/>
          <c:y val="5.4397180762852403E-2"/>
          <c:w val="0.85679914232389698"/>
          <c:h val="0.59223168018395245"/>
        </c:manualLayout>
      </c:layout>
      <c:lineChart>
        <c:grouping val="standard"/>
        <c:varyColors val="0"/>
        <c:ser>
          <c:idx val="0"/>
          <c:order val="0"/>
          <c:tx>
            <c:strRef>
              <c:f>'Comparison with group'!$C$5:$F$5</c:f>
              <c:strCache>
                <c:ptCount val="1"/>
              </c:strCache>
            </c:strRef>
          </c:tx>
          <c:spPr>
            <a:ln w="25400">
              <a:solidFill>
                <a:srgbClr val="057D46"/>
              </a:solidFill>
            </a:ln>
          </c:spPr>
          <c:marker>
            <c:symbol val="none"/>
          </c:marker>
          <c:dLbls>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('Comparison with group'!$B$7:$B$8,'Comparison with group'!$B$10:$B$12)</c:f>
              <c:strCache>
                <c:ptCount val="5"/>
                <c:pt idx="0">
                  <c:v>Bank's data as of 01.01.18</c:v>
                </c:pt>
                <c:pt idx="1">
                  <c:v>AQR as of 01.01.18</c:v>
                </c:pt>
                <c:pt idx="2">
                  <c:v>1st</c:v>
                </c:pt>
                <c:pt idx="3">
                  <c:v>2nd</c:v>
                </c:pt>
                <c:pt idx="4">
                  <c:v>3rd</c:v>
                </c:pt>
              </c:strCache>
            </c:strRef>
          </c:cat>
          <c:val>
            <c:numRef>
              <c:f>('Comparison with group'!$F$7:$F$8,'Comparison with group'!$F$14:$F$16)</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3-B8A2-43B1-9333-AB5A59F928C1}"/>
            </c:ext>
          </c:extLst>
        </c:ser>
        <c:ser>
          <c:idx val="1"/>
          <c:order val="1"/>
          <c:tx>
            <c:strRef>
              <c:f>'Comparison with group'!$G$5:$J$5</c:f>
              <c:strCache>
                <c:ptCount val="1"/>
                <c:pt idx="0">
                  <c:v>All banks under stress test</c:v>
                </c:pt>
              </c:strCache>
            </c:strRef>
          </c:tx>
          <c:spPr>
            <a:ln w="25400">
              <a:solidFill>
                <a:srgbClr val="91C864"/>
              </a:solidFill>
            </a:ln>
          </c:spPr>
          <c:marker>
            <c:symbol val="none"/>
          </c:marker>
          <c:cat>
            <c:strRef>
              <c:f>('Comparison with group'!$B$7:$B$8,'Comparison with group'!$B$10:$B$12)</c:f>
              <c:strCache>
                <c:ptCount val="5"/>
                <c:pt idx="0">
                  <c:v>Bank's data as of 01.01.18</c:v>
                </c:pt>
                <c:pt idx="1">
                  <c:v>AQR as of 01.01.18</c:v>
                </c:pt>
                <c:pt idx="2">
                  <c:v>1st</c:v>
                </c:pt>
                <c:pt idx="3">
                  <c:v>2nd</c:v>
                </c:pt>
                <c:pt idx="4">
                  <c:v>3rd</c:v>
                </c:pt>
              </c:strCache>
            </c:strRef>
          </c:cat>
          <c:val>
            <c:numRef>
              <c:f>('Comparison with group'!$J$7:$J$8,'Comparison with group'!$J$14:$J$16)</c:f>
              <c:numCache>
                <c:formatCode>0.0%</c:formatCode>
                <c:ptCount val="5"/>
                <c:pt idx="0">
                  <c:v>0.11865250959835233</c:v>
                </c:pt>
                <c:pt idx="1">
                  <c:v>0.10899023347366985</c:v>
                </c:pt>
                <c:pt idx="2">
                  <c:v>3.7087801835625926E-2</c:v>
                </c:pt>
                <c:pt idx="3">
                  <c:v>3.1196404806720032E-2</c:v>
                </c:pt>
                <c:pt idx="4">
                  <c:v>6.7130213671884931E-2</c:v>
                </c:pt>
              </c:numCache>
            </c:numRef>
          </c:val>
          <c:smooth val="0"/>
          <c:extLst>
            <c:ext xmlns:c16="http://schemas.microsoft.com/office/drawing/2014/chart" uri="{C3380CC4-5D6E-409C-BE32-E72D297353CC}">
              <c16:uniqueId val="{00000004-B8A2-43B1-9333-AB5A59F928C1}"/>
            </c:ext>
          </c:extLst>
        </c:ser>
        <c:ser>
          <c:idx val="3"/>
          <c:order val="2"/>
          <c:tx>
            <c:strRef>
              <c:f>'Comparison with group'!$K$5:$N$5</c:f>
              <c:strCache>
                <c:ptCount val="1"/>
              </c:strCache>
            </c:strRef>
          </c:tx>
          <c:spPr>
            <a:ln w="25400">
              <a:solidFill>
                <a:srgbClr val="46AFE6"/>
              </a:solidFill>
            </a:ln>
          </c:spPr>
          <c:marker>
            <c:symbol val="none"/>
          </c:marker>
          <c:cat>
            <c:strRef>
              <c:f>('Comparison with group'!$B$7:$B$8,'Comparison with group'!$B$10:$B$12)</c:f>
              <c:strCache>
                <c:ptCount val="5"/>
                <c:pt idx="0">
                  <c:v>Bank's data as of 01.01.18</c:v>
                </c:pt>
                <c:pt idx="1">
                  <c:v>AQR as of 01.01.18</c:v>
                </c:pt>
                <c:pt idx="2">
                  <c:v>1st</c:v>
                </c:pt>
                <c:pt idx="3">
                  <c:v>2nd</c:v>
                </c:pt>
                <c:pt idx="4">
                  <c:v>3rd</c:v>
                </c:pt>
              </c:strCache>
            </c:strRef>
          </c:cat>
          <c:val>
            <c:numRef>
              <c:f>('Comparison with group'!$N$7:$N$8,'Comparison with group'!$N$14:$N$16)</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5-B8A2-43B1-9333-AB5A59F928C1}"/>
            </c:ext>
          </c:extLst>
        </c:ser>
        <c:ser>
          <c:idx val="2"/>
          <c:order val="3"/>
          <c:tx>
            <c:strRef>
              <c:f>'Comparison with group'!$B$39</c:f>
              <c:strCache>
                <c:ptCount val="1"/>
                <c:pt idx="0">
                  <c:v>Required level of core capital ratio under adverse scenario</c:v>
                </c:pt>
              </c:strCache>
            </c:strRef>
          </c:tx>
          <c:spPr>
            <a:ln w="25400">
              <a:solidFill>
                <a:srgbClr val="C84B64"/>
              </a:solidFill>
              <a:prstDash val="sysDash"/>
            </a:ln>
          </c:spPr>
          <c:marker>
            <c:symbol val="none"/>
          </c:marker>
          <c:cat>
            <c:strRef>
              <c:f>('Comparison with group'!$B$7:$B$8,'Comparison with group'!$B$10:$B$12)</c:f>
              <c:strCache>
                <c:ptCount val="5"/>
                <c:pt idx="0">
                  <c:v>Bank's data as of 01.01.18</c:v>
                </c:pt>
                <c:pt idx="1">
                  <c:v>AQR as of 01.01.18</c:v>
                </c:pt>
                <c:pt idx="2">
                  <c:v>1st</c:v>
                </c:pt>
                <c:pt idx="3">
                  <c:v>2nd</c:v>
                </c:pt>
                <c:pt idx="4">
                  <c:v>3rd</c:v>
                </c:pt>
              </c:strCache>
            </c:strRef>
          </c:cat>
          <c:val>
            <c:numRef>
              <c:f>('Comparison with group'!$O$14:$O$15,'Comparison with group'!$O$14:$O$16)</c:f>
              <c:numCache>
                <c:formatCode>0.0%</c:formatCode>
                <c:ptCount val="5"/>
                <c:pt idx="0">
                  <c:v>3.5000000000000003E-2</c:v>
                </c:pt>
                <c:pt idx="1">
                  <c:v>3.5000000000000003E-2</c:v>
                </c:pt>
                <c:pt idx="2">
                  <c:v>3.5000000000000003E-2</c:v>
                </c:pt>
                <c:pt idx="3">
                  <c:v>3.5000000000000003E-2</c:v>
                </c:pt>
                <c:pt idx="4">
                  <c:v>3.5000000000000003E-2</c:v>
                </c:pt>
              </c:numCache>
            </c:numRef>
          </c:val>
          <c:smooth val="0"/>
          <c:extLst>
            <c:ext xmlns:c16="http://schemas.microsoft.com/office/drawing/2014/chart" uri="{C3380CC4-5D6E-409C-BE32-E72D297353CC}">
              <c16:uniqueId val="{00000006-B8A2-43B1-9333-AB5A59F928C1}"/>
            </c:ext>
          </c:extLst>
        </c:ser>
        <c:dLbls>
          <c:showLegendKey val="0"/>
          <c:showVal val="0"/>
          <c:showCatName val="0"/>
          <c:showSerName val="0"/>
          <c:showPercent val="0"/>
          <c:showBubbleSize val="0"/>
        </c:dLbls>
        <c:smooth val="0"/>
        <c:axId val="409803832"/>
        <c:axId val="409802192"/>
      </c:lineChart>
      <c:catAx>
        <c:axId val="409803832"/>
        <c:scaling>
          <c:orientation val="minMax"/>
        </c:scaling>
        <c:delete val="0"/>
        <c:axPos val="b"/>
        <c:numFmt formatCode="@" sourceLinked="0"/>
        <c:majorTickMark val="in"/>
        <c:minorTickMark val="none"/>
        <c:tickLblPos val="low"/>
        <c:spPr>
          <a:noFill/>
          <a:ln w="9525" cap="flat" cmpd="sng" algn="ctr">
            <a:solidFill>
              <a:srgbClr val="505050"/>
            </a:solidFill>
            <a:prstDash val="solid"/>
            <a:round/>
          </a:ln>
          <a:effectLst/>
        </c:spPr>
        <c:txPr>
          <a:bodyPr rot="0" vert="horz"/>
          <a:lstStyle/>
          <a:p>
            <a:pPr>
              <a:defRPr sz="750">
                <a:latin typeface="Arial"/>
                <a:ea typeface="Arial"/>
                <a:cs typeface="Arial"/>
              </a:defRPr>
            </a:pPr>
            <a:endParaRPr lang="uk-UA"/>
          </a:p>
        </c:txPr>
        <c:crossAx val="409802192"/>
        <c:crosses val="autoZero"/>
        <c:auto val="1"/>
        <c:lblAlgn val="ctr"/>
        <c:lblOffset val="100"/>
        <c:tickLblSkip val="1"/>
        <c:noMultiLvlLbl val="0"/>
      </c:catAx>
      <c:valAx>
        <c:axId val="40980219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cap="flat" cmpd="sng" algn="ctr">
            <a:solidFill>
              <a:srgbClr val="505050"/>
            </a:solidFill>
            <a:prstDash val="solid"/>
            <a:round/>
          </a:ln>
          <a:effectLst/>
          <a:extLst/>
        </c:spPr>
        <c:txPr>
          <a:bodyPr rot="0" vert="horz"/>
          <a:lstStyle/>
          <a:p>
            <a:pPr>
              <a:defRPr sz="750">
                <a:latin typeface="Arial"/>
                <a:ea typeface="Arial"/>
                <a:cs typeface="Arial"/>
              </a:defRPr>
            </a:pPr>
            <a:endParaRPr lang="uk-UA"/>
          </a:p>
        </c:txPr>
        <c:crossAx val="409803832"/>
        <c:crosses val="autoZero"/>
        <c:crossBetween val="between"/>
      </c:valAx>
      <c:spPr>
        <a:noFill/>
        <a:ln w="9525">
          <a:solidFill>
            <a:srgbClr val="505050"/>
          </a:solidFill>
        </a:ln>
        <a:effectLst/>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0"/>
          <c:y val="0.80634421820743885"/>
          <c:w val="0.99182450980392156"/>
          <c:h val="0.19365578179256115"/>
        </c:manualLayout>
      </c:layout>
      <c:overlay val="0"/>
      <c:spPr>
        <a:noFill/>
        <a:ln>
          <a:noFill/>
        </a:ln>
        <a:effectLst/>
        <a:extLst>
          <a:ext uri="{91240B29-F687-4F45-9708-019B960494DF}">
            <a14:hiddenLine xmlns:a14="http://schemas.microsoft.com/office/drawing/2010/main">
              <a:noFill/>
            </a14:hiddenLine>
          </a:ext>
        </a:extLst>
      </c:spPr>
      <c:txPr>
        <a:bodyPr/>
        <a:lstStyle/>
        <a:p>
          <a:pPr>
            <a:defRPr sz="750">
              <a:latin typeface="Arial"/>
              <a:ea typeface="Arial"/>
              <a:cs typeface="Arial"/>
            </a:defRPr>
          </a:pPr>
          <a:endParaRPr lang="uk-UA"/>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rgbClr val="FFFFFF"/>
          </a:solidFill>
        </a14:hiddenFill>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399937908496732"/>
          <c:y val="4.0509167753591722E-2"/>
          <c:w val="0.8234562091503268"/>
          <c:h val="0.59308758506348824"/>
        </c:manualLayout>
      </c:layout>
      <c:barChart>
        <c:barDir val="col"/>
        <c:grouping val="clustered"/>
        <c:varyColors val="0"/>
        <c:ser>
          <c:idx val="0"/>
          <c:order val="0"/>
          <c:tx>
            <c:strRef>
              <c:f>'Comparison of banks'!$D$4:$F$4</c:f>
              <c:strCache>
                <c:ptCount val="1"/>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elete val="1"/>
          </c:dLbls>
          <c:cat>
            <c:strRef>
              <c:f>('Comparison of banks'!$B$6:$B$7,'Comparison of banks'!$B$9:$B$11)</c:f>
              <c:strCache>
                <c:ptCount val="5"/>
                <c:pt idx="0">
                  <c:v>Bank's data as of 01.01.18</c:v>
                </c:pt>
                <c:pt idx="1">
                  <c:v>AQR as of 01.01.18</c:v>
                </c:pt>
                <c:pt idx="2">
                  <c:v>1st</c:v>
                </c:pt>
                <c:pt idx="3">
                  <c:v>2nd</c:v>
                </c:pt>
                <c:pt idx="4">
                  <c:v>3rd</c:v>
                </c:pt>
              </c:strCache>
            </c:strRef>
          </c:cat>
          <c:val>
            <c:numRef>
              <c:f>('Comparison of banks'!$C$6:$C$7,'Comparison of banks'!$C$9:$C$11)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6D8D-439A-B8A4-E85CC364BD05}"/>
            </c:ext>
          </c:extLst>
        </c:ser>
        <c:ser>
          <c:idx val="1"/>
          <c:order val="1"/>
          <c:tx>
            <c:strRef>
              <c:f>'Comparison of banks'!$H$4:$J$4</c:f>
              <c:strCache>
                <c:ptCount val="1"/>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delete val="1"/>
          </c:dLbls>
          <c:cat>
            <c:strRef>
              <c:f>('Comparison of banks'!$B$6:$B$7,'Comparison of banks'!$B$9:$B$11)</c:f>
              <c:strCache>
                <c:ptCount val="5"/>
                <c:pt idx="0">
                  <c:v>Bank's data as of 01.01.18</c:v>
                </c:pt>
                <c:pt idx="1">
                  <c:v>AQR as of 01.01.18</c:v>
                </c:pt>
                <c:pt idx="2">
                  <c:v>1st</c:v>
                </c:pt>
                <c:pt idx="3">
                  <c:v>2nd</c:v>
                </c:pt>
                <c:pt idx="4">
                  <c:v>3rd</c:v>
                </c:pt>
              </c:strCache>
            </c:strRef>
          </c:cat>
          <c:val>
            <c:numRef>
              <c:f>('Comparison of banks'!$G$6:$G$7,'Comparison of banks'!$G$9:$G$11)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8-6D8D-439A-B8A4-E85CC364BD05}"/>
            </c:ext>
          </c:extLst>
        </c:ser>
        <c:ser>
          <c:idx val="2"/>
          <c:order val="2"/>
          <c:tx>
            <c:strRef>
              <c:f>'Comparison of banks'!$L$4:$N$4</c:f>
              <c:strCache>
                <c:ptCount val="1"/>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elete val="1"/>
          </c:dLbls>
          <c:cat>
            <c:strRef>
              <c:f>('Comparison of banks'!$B$6:$B$7,'Comparison of banks'!$B$9:$B$11)</c:f>
              <c:strCache>
                <c:ptCount val="5"/>
                <c:pt idx="0">
                  <c:v>Bank's data as of 01.01.18</c:v>
                </c:pt>
                <c:pt idx="1">
                  <c:v>AQR as of 01.01.18</c:v>
                </c:pt>
                <c:pt idx="2">
                  <c:v>1st</c:v>
                </c:pt>
                <c:pt idx="3">
                  <c:v>2nd</c:v>
                </c:pt>
                <c:pt idx="4">
                  <c:v>3rd</c:v>
                </c:pt>
              </c:strCache>
            </c:strRef>
          </c:cat>
          <c:val>
            <c:numRef>
              <c:f>('Comparison of banks'!$K$6:$K$7,'Comparison of banks'!$K$9:$K$11)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9-6D8D-439A-B8A4-E85CC364BD05}"/>
            </c:ext>
          </c:extLst>
        </c:ser>
        <c:ser>
          <c:idx val="3"/>
          <c:order val="3"/>
          <c:tx>
            <c:strRef>
              <c:f>'Comparison of banks'!$P$4:$R$4</c:f>
              <c:strCache>
                <c:ptCount val="1"/>
              </c:strCache>
            </c:strRef>
          </c:tx>
          <c:spPr>
            <a:solidFill>
              <a:srgbClr val="DC4B64"/>
            </a:solidFill>
            <a:ln>
              <a:noFill/>
            </a:ln>
            <a:effectLst/>
            <a:extLst>
              <a:ext uri="{91240B29-F687-4F45-9708-019B960494DF}">
                <a14:hiddenLine xmlns:a14="http://schemas.microsoft.com/office/drawing/2010/main">
                  <a:noFill/>
                </a14:hiddenLine>
              </a:ext>
            </a:extLst>
          </c:spPr>
          <c:invertIfNegative val="0"/>
          <c:dLbls>
            <c:delete val="1"/>
          </c:dLbls>
          <c:cat>
            <c:strRef>
              <c:f>('Comparison of banks'!$B$6:$B$7,'Comparison of banks'!$B$9:$B$11)</c:f>
              <c:strCache>
                <c:ptCount val="5"/>
                <c:pt idx="0">
                  <c:v>Bank's data as of 01.01.18</c:v>
                </c:pt>
                <c:pt idx="1">
                  <c:v>AQR as of 01.01.18</c:v>
                </c:pt>
                <c:pt idx="2">
                  <c:v>1st</c:v>
                </c:pt>
                <c:pt idx="3">
                  <c:v>2nd</c:v>
                </c:pt>
                <c:pt idx="4">
                  <c:v>3rd</c:v>
                </c:pt>
              </c:strCache>
            </c:strRef>
          </c:cat>
          <c:val>
            <c:numRef>
              <c:f>('Comparison of banks'!$O$6:$O$7,'Comparison of banks'!$O$9:$O$11)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A-6D8D-439A-B8A4-E85CC364BD05}"/>
            </c:ext>
          </c:extLst>
        </c:ser>
        <c:dLbls>
          <c:showLegendKey val="0"/>
          <c:showVal val="1"/>
          <c:showCatName val="0"/>
          <c:showSerName val="0"/>
          <c:showPercent val="0"/>
          <c:showBubbleSize val="0"/>
        </c:dLbls>
        <c:gapWidth val="70"/>
        <c:axId val="409803832"/>
        <c:axId val="409802192"/>
      </c:barChart>
      <c:catAx>
        <c:axId val="4098038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ln>
          <a:effectLst/>
        </c:spPr>
        <c:txPr>
          <a:bodyPr rot="0" vert="horz"/>
          <a:lstStyle/>
          <a:p>
            <a:pPr>
              <a:defRPr sz="750">
                <a:latin typeface="Arial"/>
                <a:ea typeface="Arial"/>
                <a:cs typeface="Arial"/>
              </a:defRPr>
            </a:pPr>
            <a:endParaRPr lang="uk-UA"/>
          </a:p>
        </c:txPr>
        <c:crossAx val="409802192"/>
        <c:crosses val="autoZero"/>
        <c:auto val="1"/>
        <c:lblAlgn val="ctr"/>
        <c:lblOffset val="100"/>
        <c:noMultiLvlLbl val="0"/>
      </c:catAx>
      <c:valAx>
        <c:axId val="40980219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cap="flat" cmpd="sng" algn="ctr">
            <a:solidFill>
              <a:srgbClr val="505050"/>
            </a:solidFill>
            <a:prstDash val="solid"/>
            <a:round/>
          </a:ln>
          <a:effectLst/>
          <a:extLst/>
        </c:spPr>
        <c:txPr>
          <a:bodyPr rot="0" vert="horz"/>
          <a:lstStyle/>
          <a:p>
            <a:pPr>
              <a:defRPr sz="750">
                <a:latin typeface="Arial"/>
                <a:ea typeface="Arial"/>
                <a:cs typeface="Arial"/>
              </a:defRPr>
            </a:pPr>
            <a:endParaRPr lang="uk-UA"/>
          </a:p>
        </c:txPr>
        <c:crossAx val="409803832"/>
        <c:crosses val="autoZero"/>
        <c:crossBetween val="between"/>
      </c:valAx>
      <c:spPr>
        <a:noFill/>
        <a:ln w="9525">
          <a:solidFill>
            <a:srgbClr val="505050"/>
          </a:solidFill>
        </a:ln>
        <a:effectLst/>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0"/>
          <c:y val="0.77160319530650889"/>
          <c:w val="0.96136894060989919"/>
          <c:h val="0.22839680469349102"/>
        </c:manualLayout>
      </c:layout>
      <c:overlay val="0"/>
      <c:spPr>
        <a:noFill/>
        <a:ln>
          <a:noFill/>
        </a:ln>
        <a:effectLst/>
        <a:extLst>
          <a:ext uri="{91240B29-F687-4F45-9708-019B960494DF}">
            <a14:hiddenLine xmlns:a14="http://schemas.microsoft.com/office/drawing/2010/main">
              <a:noFill/>
            </a14:hiddenLine>
          </a:ext>
        </a:extLst>
      </c:spPr>
      <c:txPr>
        <a:bodyPr/>
        <a:lstStyle/>
        <a:p>
          <a:pPr>
            <a:defRPr sz="750">
              <a:latin typeface="Arial"/>
              <a:ea typeface="Arial"/>
              <a:cs typeface="Arial"/>
            </a:defRPr>
          </a:pPr>
          <a:endParaRPr lang="uk-UA"/>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rgbClr val="FFFFFF"/>
          </a:solidFill>
        </a14:hiddenFill>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2482872437754412"/>
          <c:y val="4.0509167753591722E-2"/>
          <c:w val="0.83961286542763225"/>
          <c:h val="0.58319523640571236"/>
        </c:manualLayout>
      </c:layout>
      <c:barChart>
        <c:barDir val="col"/>
        <c:grouping val="clustered"/>
        <c:varyColors val="0"/>
        <c:ser>
          <c:idx val="0"/>
          <c:order val="0"/>
          <c:tx>
            <c:strRef>
              <c:f>'Comparison of banks'!$D$4:$F$4</c:f>
              <c:strCache>
                <c:ptCount val="1"/>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elete val="1"/>
          </c:dLbls>
          <c:cat>
            <c:strRef>
              <c:f>('Comparison of banks'!$B$6:$B$7,'Comparison of banks'!$B$9:$B$11)</c:f>
              <c:strCache>
                <c:ptCount val="5"/>
                <c:pt idx="0">
                  <c:v>Bank's data as of 01.01.18</c:v>
                </c:pt>
                <c:pt idx="1">
                  <c:v>AQR as of 01.01.18</c:v>
                </c:pt>
                <c:pt idx="2">
                  <c:v>1st</c:v>
                </c:pt>
                <c:pt idx="3">
                  <c:v>2nd</c:v>
                </c:pt>
                <c:pt idx="4">
                  <c:v>3rd</c:v>
                </c:pt>
              </c:strCache>
            </c:strRef>
          </c:cat>
          <c:val>
            <c:numRef>
              <c:f>('Comparison of banks'!$F$6:$F$7,'Comparison of banks'!$F$9:$F$11)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DDA-459B-86DD-E3F9EECFDAEA}"/>
            </c:ext>
          </c:extLst>
        </c:ser>
        <c:ser>
          <c:idx val="1"/>
          <c:order val="1"/>
          <c:tx>
            <c:strRef>
              <c:f>'Comparison of banks'!$H$4:$J$4</c:f>
              <c:strCache>
                <c:ptCount val="1"/>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delete val="1"/>
          </c:dLbls>
          <c:cat>
            <c:strRef>
              <c:f>('Comparison of banks'!$B$6:$B$7,'Comparison of banks'!$B$9:$B$11)</c:f>
              <c:strCache>
                <c:ptCount val="5"/>
                <c:pt idx="0">
                  <c:v>Bank's data as of 01.01.18</c:v>
                </c:pt>
                <c:pt idx="1">
                  <c:v>AQR as of 01.01.18</c:v>
                </c:pt>
                <c:pt idx="2">
                  <c:v>1st</c:v>
                </c:pt>
                <c:pt idx="3">
                  <c:v>2nd</c:v>
                </c:pt>
                <c:pt idx="4">
                  <c:v>3rd</c:v>
                </c:pt>
              </c:strCache>
            </c:strRef>
          </c:cat>
          <c:val>
            <c:numRef>
              <c:f>('Comparison of banks'!$J$6:$J$7,'Comparison of banks'!$J$9:$J$11)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1-EDDA-459B-86DD-E3F9EECFDAEA}"/>
            </c:ext>
          </c:extLst>
        </c:ser>
        <c:ser>
          <c:idx val="2"/>
          <c:order val="2"/>
          <c:tx>
            <c:strRef>
              <c:f>'Comparison of banks'!$L$4:$N$4</c:f>
              <c:strCache>
                <c:ptCount val="1"/>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elete val="1"/>
          </c:dLbls>
          <c:cat>
            <c:strRef>
              <c:f>('Comparison of banks'!$B$6:$B$7,'Comparison of banks'!$B$9:$B$11)</c:f>
              <c:strCache>
                <c:ptCount val="5"/>
                <c:pt idx="0">
                  <c:v>Bank's data as of 01.01.18</c:v>
                </c:pt>
                <c:pt idx="1">
                  <c:v>AQR as of 01.01.18</c:v>
                </c:pt>
                <c:pt idx="2">
                  <c:v>1st</c:v>
                </c:pt>
                <c:pt idx="3">
                  <c:v>2nd</c:v>
                </c:pt>
                <c:pt idx="4">
                  <c:v>3rd</c:v>
                </c:pt>
              </c:strCache>
            </c:strRef>
          </c:cat>
          <c:val>
            <c:numRef>
              <c:f>('Comparison of banks'!$N$6:$N$7,'Comparison of banks'!$N$9:$N$11)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2-EDDA-459B-86DD-E3F9EECFDAEA}"/>
            </c:ext>
          </c:extLst>
        </c:ser>
        <c:ser>
          <c:idx val="3"/>
          <c:order val="3"/>
          <c:tx>
            <c:strRef>
              <c:f>'Comparison of banks'!$P$4:$R$4</c:f>
              <c:strCache>
                <c:ptCount val="1"/>
              </c:strCache>
            </c:strRef>
          </c:tx>
          <c:spPr>
            <a:solidFill>
              <a:srgbClr val="DC4B64"/>
            </a:solidFill>
            <a:ln>
              <a:noFill/>
            </a:ln>
            <a:effectLst/>
            <a:extLst>
              <a:ext uri="{91240B29-F687-4F45-9708-019B960494DF}">
                <a14:hiddenLine xmlns:a14="http://schemas.microsoft.com/office/drawing/2010/main">
                  <a:noFill/>
                </a14:hiddenLine>
              </a:ext>
            </a:extLst>
          </c:spPr>
          <c:invertIfNegative val="0"/>
          <c:dLbls>
            <c:delete val="1"/>
          </c:dLbls>
          <c:cat>
            <c:strRef>
              <c:f>('Comparison of banks'!$B$6:$B$7,'Comparison of banks'!$B$9:$B$11)</c:f>
              <c:strCache>
                <c:ptCount val="5"/>
                <c:pt idx="0">
                  <c:v>Bank's data as of 01.01.18</c:v>
                </c:pt>
                <c:pt idx="1">
                  <c:v>AQR as of 01.01.18</c:v>
                </c:pt>
                <c:pt idx="2">
                  <c:v>1st</c:v>
                </c:pt>
                <c:pt idx="3">
                  <c:v>2nd</c:v>
                </c:pt>
                <c:pt idx="4">
                  <c:v>3rd</c:v>
                </c:pt>
              </c:strCache>
            </c:strRef>
          </c:cat>
          <c:val>
            <c:numRef>
              <c:f>('Comparison of banks'!$R$6:$R$7,'Comparison of banks'!$R$9:$R$11)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3-EDDA-459B-86DD-E3F9EECFDAEA}"/>
            </c:ext>
          </c:extLst>
        </c:ser>
        <c:dLbls>
          <c:showLegendKey val="0"/>
          <c:showVal val="1"/>
          <c:showCatName val="0"/>
          <c:showSerName val="0"/>
          <c:showPercent val="0"/>
          <c:showBubbleSize val="0"/>
        </c:dLbls>
        <c:gapWidth val="70"/>
        <c:axId val="409803832"/>
        <c:axId val="409802192"/>
      </c:barChart>
      <c:catAx>
        <c:axId val="4098038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ln>
          <a:effectLst/>
        </c:spPr>
        <c:txPr>
          <a:bodyPr rot="0" vert="horz"/>
          <a:lstStyle/>
          <a:p>
            <a:pPr>
              <a:defRPr sz="750">
                <a:latin typeface="Arial"/>
                <a:ea typeface="Arial"/>
                <a:cs typeface="Arial"/>
              </a:defRPr>
            </a:pPr>
            <a:endParaRPr lang="uk-UA"/>
          </a:p>
        </c:txPr>
        <c:crossAx val="409802192"/>
        <c:crosses val="autoZero"/>
        <c:auto val="1"/>
        <c:lblAlgn val="ctr"/>
        <c:lblOffset val="100"/>
        <c:noMultiLvlLbl val="0"/>
      </c:catAx>
      <c:valAx>
        <c:axId val="40980219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cap="flat" cmpd="sng" algn="ctr">
            <a:solidFill>
              <a:srgbClr val="505050"/>
            </a:solidFill>
            <a:prstDash val="solid"/>
            <a:round/>
          </a:ln>
          <a:effectLst/>
          <a:extLst/>
        </c:spPr>
        <c:txPr>
          <a:bodyPr rot="0" vert="horz"/>
          <a:lstStyle/>
          <a:p>
            <a:pPr>
              <a:defRPr sz="750">
                <a:latin typeface="Arial"/>
                <a:ea typeface="Arial"/>
                <a:cs typeface="Arial"/>
              </a:defRPr>
            </a:pPr>
            <a:endParaRPr lang="uk-UA"/>
          </a:p>
        </c:txPr>
        <c:crossAx val="409803832"/>
        <c:crosses val="autoZero"/>
        <c:crossBetween val="between"/>
      </c:valAx>
      <c:spPr>
        <a:noFill/>
        <a:ln w="9525">
          <a:solidFill>
            <a:srgbClr val="505050"/>
          </a:solidFill>
        </a:ln>
        <a:effectLst/>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0"/>
          <c:y val="0.77160319530650889"/>
          <c:w val="0.96235855097413503"/>
          <c:h val="0.22839680469349102"/>
        </c:manualLayout>
      </c:layout>
      <c:overlay val="0"/>
      <c:spPr>
        <a:noFill/>
        <a:ln>
          <a:noFill/>
        </a:ln>
        <a:effectLst/>
        <a:extLst>
          <a:ext uri="{91240B29-F687-4F45-9708-019B960494DF}">
            <a14:hiddenLine xmlns:a14="http://schemas.microsoft.com/office/drawing/2010/main">
              <a:noFill/>
            </a14:hiddenLine>
          </a:ext>
        </a:extLst>
      </c:spPr>
      <c:txPr>
        <a:bodyPr/>
        <a:lstStyle/>
        <a:p>
          <a:pPr>
            <a:defRPr sz="750">
              <a:latin typeface="Arial"/>
              <a:ea typeface="Arial"/>
              <a:cs typeface="Arial"/>
            </a:defRPr>
          </a:pPr>
          <a:endParaRPr lang="uk-UA"/>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rgbClr val="FFFFFF"/>
          </a:solidFill>
        </a14:hiddenFill>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403279670545195"/>
          <c:y val="4.0509167753591722E-2"/>
          <c:w val="0.82312187068564657"/>
          <c:h val="0.59308758506348824"/>
        </c:manualLayout>
      </c:layout>
      <c:barChart>
        <c:barDir val="col"/>
        <c:grouping val="clustered"/>
        <c:varyColors val="0"/>
        <c:ser>
          <c:idx val="0"/>
          <c:order val="0"/>
          <c:tx>
            <c:strRef>
              <c:f>'Comparison of banks'!$D$4:$F$4</c:f>
              <c:strCache>
                <c:ptCount val="1"/>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elete val="1"/>
          </c:dLbls>
          <c:cat>
            <c:strRef>
              <c:f>('Comparison of banks'!$B$6:$B$7,'Comparison of banks'!$B$9:$B$11)</c:f>
              <c:strCache>
                <c:ptCount val="5"/>
                <c:pt idx="0">
                  <c:v>Bank's data as of 01.01.18</c:v>
                </c:pt>
                <c:pt idx="1">
                  <c:v>AQR as of 01.01.18</c:v>
                </c:pt>
                <c:pt idx="2">
                  <c:v>1st</c:v>
                </c:pt>
                <c:pt idx="3">
                  <c:v>2nd</c:v>
                </c:pt>
                <c:pt idx="4">
                  <c:v>3rd</c:v>
                </c:pt>
              </c:strCache>
            </c:strRef>
          </c:cat>
          <c:val>
            <c:numRef>
              <c:f>('Comparison of banks'!$C$6:$C$7,'Comparison of banks'!$C$13:$C$15)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FF58-441A-9F8D-16494E93D9DF}"/>
            </c:ext>
          </c:extLst>
        </c:ser>
        <c:ser>
          <c:idx val="1"/>
          <c:order val="1"/>
          <c:tx>
            <c:strRef>
              <c:f>'Comparison of banks'!$H$4:$J$4</c:f>
              <c:strCache>
                <c:ptCount val="1"/>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delete val="1"/>
          </c:dLbls>
          <c:cat>
            <c:strRef>
              <c:f>('Comparison of banks'!$B$6:$B$7,'Comparison of banks'!$B$9:$B$11)</c:f>
              <c:strCache>
                <c:ptCount val="5"/>
                <c:pt idx="0">
                  <c:v>Bank's data as of 01.01.18</c:v>
                </c:pt>
                <c:pt idx="1">
                  <c:v>AQR as of 01.01.18</c:v>
                </c:pt>
                <c:pt idx="2">
                  <c:v>1st</c:v>
                </c:pt>
                <c:pt idx="3">
                  <c:v>2nd</c:v>
                </c:pt>
                <c:pt idx="4">
                  <c:v>3rd</c:v>
                </c:pt>
              </c:strCache>
            </c:strRef>
          </c:cat>
          <c:val>
            <c:numRef>
              <c:f>('Comparison of banks'!$G$6:$G$7,'Comparison of banks'!$G$13:$G$15)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FF58-441A-9F8D-16494E93D9DF}"/>
            </c:ext>
          </c:extLst>
        </c:ser>
        <c:ser>
          <c:idx val="2"/>
          <c:order val="2"/>
          <c:tx>
            <c:strRef>
              <c:f>'Comparison of banks'!$L$4:$N$4</c:f>
              <c:strCache>
                <c:ptCount val="1"/>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elete val="1"/>
          </c:dLbls>
          <c:cat>
            <c:strRef>
              <c:f>('Comparison of banks'!$B$6:$B$7,'Comparison of banks'!$B$9:$B$11)</c:f>
              <c:strCache>
                <c:ptCount val="5"/>
                <c:pt idx="0">
                  <c:v>Bank's data as of 01.01.18</c:v>
                </c:pt>
                <c:pt idx="1">
                  <c:v>AQR as of 01.01.18</c:v>
                </c:pt>
                <c:pt idx="2">
                  <c:v>1st</c:v>
                </c:pt>
                <c:pt idx="3">
                  <c:v>2nd</c:v>
                </c:pt>
                <c:pt idx="4">
                  <c:v>3rd</c:v>
                </c:pt>
              </c:strCache>
            </c:strRef>
          </c:cat>
          <c:val>
            <c:numRef>
              <c:f>('Comparison of banks'!$K$6:$K$7,'Comparison of banks'!$K$13:$K$15)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FF58-441A-9F8D-16494E93D9DF}"/>
            </c:ext>
          </c:extLst>
        </c:ser>
        <c:ser>
          <c:idx val="3"/>
          <c:order val="3"/>
          <c:tx>
            <c:strRef>
              <c:f>'Comparison of banks'!$P$4:$R$4</c:f>
              <c:strCache>
                <c:ptCount val="1"/>
              </c:strCache>
            </c:strRef>
          </c:tx>
          <c:spPr>
            <a:solidFill>
              <a:srgbClr val="DC4B64"/>
            </a:solidFill>
            <a:ln>
              <a:noFill/>
            </a:ln>
            <a:effectLst/>
            <a:extLst>
              <a:ext uri="{91240B29-F687-4F45-9708-019B960494DF}">
                <a14:hiddenLine xmlns:a14="http://schemas.microsoft.com/office/drawing/2010/main">
                  <a:noFill/>
                </a14:hiddenLine>
              </a:ext>
            </a:extLst>
          </c:spPr>
          <c:invertIfNegative val="0"/>
          <c:dLbls>
            <c:delete val="1"/>
          </c:dLbls>
          <c:cat>
            <c:strRef>
              <c:f>('Comparison of banks'!$B$6:$B$7,'Comparison of banks'!$B$9:$B$11)</c:f>
              <c:strCache>
                <c:ptCount val="5"/>
                <c:pt idx="0">
                  <c:v>Bank's data as of 01.01.18</c:v>
                </c:pt>
                <c:pt idx="1">
                  <c:v>AQR as of 01.01.18</c:v>
                </c:pt>
                <c:pt idx="2">
                  <c:v>1st</c:v>
                </c:pt>
                <c:pt idx="3">
                  <c:v>2nd</c:v>
                </c:pt>
                <c:pt idx="4">
                  <c:v>3rd</c:v>
                </c:pt>
              </c:strCache>
            </c:strRef>
          </c:cat>
          <c:val>
            <c:numRef>
              <c:f>('Comparison of banks'!$O$6:$O$7,'Comparison of banks'!$O$13:$O$15)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3-FF58-441A-9F8D-16494E93D9DF}"/>
            </c:ext>
          </c:extLst>
        </c:ser>
        <c:dLbls>
          <c:showLegendKey val="0"/>
          <c:showVal val="1"/>
          <c:showCatName val="0"/>
          <c:showSerName val="0"/>
          <c:showPercent val="0"/>
          <c:showBubbleSize val="0"/>
        </c:dLbls>
        <c:gapWidth val="70"/>
        <c:axId val="409803832"/>
        <c:axId val="409802192"/>
      </c:barChart>
      <c:catAx>
        <c:axId val="4098038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ln>
          <a:effectLst/>
        </c:spPr>
        <c:txPr>
          <a:bodyPr rot="0" vert="horz"/>
          <a:lstStyle/>
          <a:p>
            <a:pPr>
              <a:defRPr sz="750">
                <a:latin typeface="Arial"/>
                <a:ea typeface="Arial"/>
                <a:cs typeface="Arial"/>
              </a:defRPr>
            </a:pPr>
            <a:endParaRPr lang="uk-UA"/>
          </a:p>
        </c:txPr>
        <c:crossAx val="409802192"/>
        <c:crosses val="autoZero"/>
        <c:auto val="1"/>
        <c:lblAlgn val="ctr"/>
        <c:lblOffset val="100"/>
        <c:noMultiLvlLbl val="0"/>
      </c:catAx>
      <c:valAx>
        <c:axId val="40980219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cap="flat" cmpd="sng" algn="ctr">
            <a:solidFill>
              <a:srgbClr val="505050"/>
            </a:solidFill>
            <a:prstDash val="solid"/>
            <a:round/>
          </a:ln>
          <a:effectLst/>
          <a:extLst/>
        </c:spPr>
        <c:txPr>
          <a:bodyPr rot="0" vert="horz"/>
          <a:lstStyle/>
          <a:p>
            <a:pPr>
              <a:defRPr sz="750">
                <a:latin typeface="Arial"/>
                <a:ea typeface="Arial"/>
                <a:cs typeface="Arial"/>
              </a:defRPr>
            </a:pPr>
            <a:endParaRPr lang="uk-UA"/>
          </a:p>
        </c:txPr>
        <c:crossAx val="409803832"/>
        <c:crosses val="autoZero"/>
        <c:crossBetween val="between"/>
      </c:valAx>
      <c:spPr>
        <a:noFill/>
        <a:ln w="9525">
          <a:solidFill>
            <a:srgbClr val="505050"/>
          </a:solidFill>
        </a:ln>
        <a:effectLst/>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0"/>
          <c:y val="0.77160319530650889"/>
          <c:w val="0.96136894060989919"/>
          <c:h val="0.22839680469349102"/>
        </c:manualLayout>
      </c:layout>
      <c:overlay val="0"/>
      <c:spPr>
        <a:noFill/>
        <a:ln>
          <a:noFill/>
        </a:ln>
        <a:effectLst/>
        <a:extLst>
          <a:ext uri="{91240B29-F687-4F45-9708-019B960494DF}">
            <a14:hiddenLine xmlns:a14="http://schemas.microsoft.com/office/drawing/2010/main">
              <a:noFill/>
            </a14:hiddenLine>
          </a:ext>
        </a:extLst>
      </c:spPr>
      <c:txPr>
        <a:bodyPr/>
        <a:lstStyle/>
        <a:p>
          <a:pPr>
            <a:defRPr sz="750">
              <a:latin typeface="Arial"/>
              <a:ea typeface="Arial"/>
              <a:cs typeface="Arial"/>
            </a:defRPr>
          </a:pPr>
          <a:endParaRPr lang="uk-UA"/>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rgbClr val="FFFFFF"/>
          </a:solidFill>
        </a14:hiddenFill>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2506332759426153"/>
          <c:y val="4.0509167753591722E-2"/>
          <c:w val="0.83937820768031801"/>
          <c:h val="0.59308758506348824"/>
        </c:manualLayout>
      </c:layout>
      <c:barChart>
        <c:barDir val="col"/>
        <c:grouping val="clustered"/>
        <c:varyColors val="0"/>
        <c:ser>
          <c:idx val="0"/>
          <c:order val="0"/>
          <c:tx>
            <c:strRef>
              <c:f>'Comparison of banks'!$D$4:$F$4</c:f>
              <c:strCache>
                <c:ptCount val="1"/>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elete val="1"/>
          </c:dLbls>
          <c:cat>
            <c:strRef>
              <c:f>('Comparison of banks'!$B$6:$B$7,'Comparison of banks'!$B$9:$B$11)</c:f>
              <c:strCache>
                <c:ptCount val="5"/>
                <c:pt idx="0">
                  <c:v>Bank's data as of 01.01.18</c:v>
                </c:pt>
                <c:pt idx="1">
                  <c:v>AQR as of 01.01.18</c:v>
                </c:pt>
                <c:pt idx="2">
                  <c:v>1st</c:v>
                </c:pt>
                <c:pt idx="3">
                  <c:v>2nd</c:v>
                </c:pt>
                <c:pt idx="4">
                  <c:v>3rd</c:v>
                </c:pt>
              </c:strCache>
            </c:strRef>
          </c:cat>
          <c:val>
            <c:numRef>
              <c:f>('Comparison of banks'!$F$6:$F$7,'Comparison of banks'!$F$13:$F$15)</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3C3-441B-8AE9-D461C739AFBF}"/>
            </c:ext>
          </c:extLst>
        </c:ser>
        <c:ser>
          <c:idx val="1"/>
          <c:order val="1"/>
          <c:tx>
            <c:strRef>
              <c:f>'Comparison of banks'!$H$4:$J$4</c:f>
              <c:strCache>
                <c:ptCount val="1"/>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delete val="1"/>
          </c:dLbls>
          <c:cat>
            <c:strRef>
              <c:f>('Comparison of banks'!$B$6:$B$7,'Comparison of banks'!$B$9:$B$11)</c:f>
              <c:strCache>
                <c:ptCount val="5"/>
                <c:pt idx="0">
                  <c:v>Bank's data as of 01.01.18</c:v>
                </c:pt>
                <c:pt idx="1">
                  <c:v>AQR as of 01.01.18</c:v>
                </c:pt>
                <c:pt idx="2">
                  <c:v>1st</c:v>
                </c:pt>
                <c:pt idx="3">
                  <c:v>2nd</c:v>
                </c:pt>
                <c:pt idx="4">
                  <c:v>3rd</c:v>
                </c:pt>
              </c:strCache>
            </c:strRef>
          </c:cat>
          <c:val>
            <c:numRef>
              <c:f>('Comparison of banks'!$J$6:$J$7,'Comparison of banks'!$J$13:$J$15)</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1-23C3-441B-8AE9-D461C739AFBF}"/>
            </c:ext>
          </c:extLst>
        </c:ser>
        <c:ser>
          <c:idx val="2"/>
          <c:order val="2"/>
          <c:tx>
            <c:strRef>
              <c:f>'Comparison of banks'!$L$4:$N$4</c:f>
              <c:strCache>
                <c:ptCount val="1"/>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elete val="1"/>
          </c:dLbls>
          <c:cat>
            <c:strRef>
              <c:f>('Comparison of banks'!$B$6:$B$7,'Comparison of banks'!$B$9:$B$11)</c:f>
              <c:strCache>
                <c:ptCount val="5"/>
                <c:pt idx="0">
                  <c:v>Bank's data as of 01.01.18</c:v>
                </c:pt>
                <c:pt idx="1">
                  <c:v>AQR as of 01.01.18</c:v>
                </c:pt>
                <c:pt idx="2">
                  <c:v>1st</c:v>
                </c:pt>
                <c:pt idx="3">
                  <c:v>2nd</c:v>
                </c:pt>
                <c:pt idx="4">
                  <c:v>3rd</c:v>
                </c:pt>
              </c:strCache>
            </c:strRef>
          </c:cat>
          <c:val>
            <c:numRef>
              <c:f>('Comparison of banks'!$N$6:$N$7,'Comparison of banks'!$N$13:$N$15)</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2-23C3-441B-8AE9-D461C739AFBF}"/>
            </c:ext>
          </c:extLst>
        </c:ser>
        <c:ser>
          <c:idx val="3"/>
          <c:order val="3"/>
          <c:tx>
            <c:strRef>
              <c:f>'Comparison of banks'!$P$4:$R$4</c:f>
              <c:strCache>
                <c:ptCount val="1"/>
              </c:strCache>
            </c:strRef>
          </c:tx>
          <c:spPr>
            <a:solidFill>
              <a:srgbClr val="DC4B64"/>
            </a:solidFill>
            <a:ln>
              <a:noFill/>
            </a:ln>
            <a:effectLst/>
            <a:extLst>
              <a:ext uri="{91240B29-F687-4F45-9708-019B960494DF}">
                <a14:hiddenLine xmlns:a14="http://schemas.microsoft.com/office/drawing/2010/main">
                  <a:noFill/>
                </a14:hiddenLine>
              </a:ext>
            </a:extLst>
          </c:spPr>
          <c:invertIfNegative val="0"/>
          <c:dLbls>
            <c:delete val="1"/>
          </c:dLbls>
          <c:cat>
            <c:strRef>
              <c:f>('Comparison of banks'!$B$6:$B$7,'Comparison of banks'!$B$9:$B$11)</c:f>
              <c:strCache>
                <c:ptCount val="5"/>
                <c:pt idx="0">
                  <c:v>Bank's data as of 01.01.18</c:v>
                </c:pt>
                <c:pt idx="1">
                  <c:v>AQR as of 01.01.18</c:v>
                </c:pt>
                <c:pt idx="2">
                  <c:v>1st</c:v>
                </c:pt>
                <c:pt idx="3">
                  <c:v>2nd</c:v>
                </c:pt>
                <c:pt idx="4">
                  <c:v>3rd</c:v>
                </c:pt>
              </c:strCache>
            </c:strRef>
          </c:cat>
          <c:val>
            <c:numRef>
              <c:f>('Comparison of banks'!$R$6:$R$7,'Comparison of banks'!$R$13:$R$15)</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3-23C3-441B-8AE9-D461C739AFBF}"/>
            </c:ext>
          </c:extLst>
        </c:ser>
        <c:dLbls>
          <c:showLegendKey val="0"/>
          <c:showVal val="1"/>
          <c:showCatName val="0"/>
          <c:showSerName val="0"/>
          <c:showPercent val="0"/>
          <c:showBubbleSize val="0"/>
        </c:dLbls>
        <c:gapWidth val="70"/>
        <c:axId val="409803832"/>
        <c:axId val="409802192"/>
      </c:barChart>
      <c:catAx>
        <c:axId val="4098038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ln>
          <a:effectLst/>
        </c:spPr>
        <c:txPr>
          <a:bodyPr rot="0" vert="horz"/>
          <a:lstStyle/>
          <a:p>
            <a:pPr>
              <a:defRPr sz="750">
                <a:latin typeface="Arial"/>
                <a:ea typeface="Arial"/>
                <a:cs typeface="Arial"/>
              </a:defRPr>
            </a:pPr>
            <a:endParaRPr lang="uk-UA"/>
          </a:p>
        </c:txPr>
        <c:crossAx val="409802192"/>
        <c:crosses val="autoZero"/>
        <c:auto val="1"/>
        <c:lblAlgn val="ctr"/>
        <c:lblOffset val="100"/>
        <c:noMultiLvlLbl val="0"/>
      </c:catAx>
      <c:valAx>
        <c:axId val="40980219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cap="flat" cmpd="sng" algn="ctr">
            <a:solidFill>
              <a:srgbClr val="505050"/>
            </a:solidFill>
            <a:prstDash val="solid"/>
            <a:round/>
          </a:ln>
          <a:effectLst/>
          <a:extLst/>
        </c:spPr>
        <c:txPr>
          <a:bodyPr rot="0" vert="horz"/>
          <a:lstStyle/>
          <a:p>
            <a:pPr>
              <a:defRPr sz="750">
                <a:latin typeface="Arial"/>
                <a:ea typeface="Arial"/>
                <a:cs typeface="Arial"/>
              </a:defRPr>
            </a:pPr>
            <a:endParaRPr lang="uk-UA"/>
          </a:p>
        </c:txPr>
        <c:crossAx val="409803832"/>
        <c:crosses val="autoZero"/>
        <c:crossBetween val="between"/>
      </c:valAx>
      <c:spPr>
        <a:noFill/>
        <a:ln w="9525">
          <a:solidFill>
            <a:srgbClr val="505050"/>
          </a:solidFill>
        </a:ln>
        <a:effectLst/>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0"/>
          <c:y val="0.77160319530650889"/>
          <c:w val="0.96235855097413503"/>
          <c:h val="0.22839680469349102"/>
        </c:manualLayout>
      </c:layout>
      <c:overlay val="0"/>
      <c:spPr>
        <a:noFill/>
        <a:ln>
          <a:noFill/>
        </a:ln>
        <a:effectLst/>
        <a:extLst>
          <a:ext uri="{91240B29-F687-4F45-9708-019B960494DF}">
            <a14:hiddenLine xmlns:a14="http://schemas.microsoft.com/office/drawing/2010/main">
              <a:noFill/>
            </a14:hiddenLine>
          </a:ext>
        </a:extLst>
      </c:spPr>
      <c:txPr>
        <a:bodyPr/>
        <a:lstStyle/>
        <a:p>
          <a:pPr>
            <a:defRPr sz="750">
              <a:latin typeface="Arial"/>
              <a:ea typeface="Arial"/>
              <a:cs typeface="Arial"/>
            </a:defRPr>
          </a:pPr>
          <a:endParaRPr lang="uk-UA"/>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rgbClr val="FFFFFF"/>
          </a:solidFill>
        </a14:hiddenFill>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2984729376864124"/>
          <c:y val="4.0509167753591722E-2"/>
          <c:w val="0.83303677663336262"/>
          <c:h val="0.60569996637443624"/>
        </c:manualLayout>
      </c:layout>
      <c:barChart>
        <c:barDir val="col"/>
        <c:grouping val="clustered"/>
        <c:varyColors val="0"/>
        <c:ser>
          <c:idx val="0"/>
          <c:order val="0"/>
          <c:tx>
            <c:strRef>
              <c:f>'Capital need'!$F$4</c:f>
              <c:strCache>
                <c:ptCount val="1"/>
                <c:pt idx="0">
                  <c:v>25</c:v>
                </c:pt>
              </c:strCache>
            </c:strRef>
          </c:tx>
          <c:invertIfNegative val="0"/>
          <c:dPt>
            <c:idx val="0"/>
            <c:invertIfNegative val="0"/>
            <c:bubble3D val="0"/>
            <c:spPr>
              <a:solidFill>
                <a:srgbClr val="7D0532"/>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3FA1-44AF-B4DA-CC666219A083}"/>
              </c:ext>
            </c:extLst>
          </c:dPt>
          <c:dPt>
            <c:idx val="1"/>
            <c:invertIfNegative val="0"/>
            <c:bubble3D val="0"/>
            <c:spPr>
              <a:solidFill>
                <a:srgbClr val="00559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3FA1-44AF-B4DA-CC666219A083}"/>
              </c:ext>
            </c:extLst>
          </c:dPt>
          <c:dPt>
            <c:idx val="2"/>
            <c:invertIfNegative val="0"/>
            <c:bubble3D val="0"/>
            <c:spPr>
              <a:solidFill>
                <a:srgbClr val="C84B64"/>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3FA1-44AF-B4DA-CC666219A083}"/>
              </c:ext>
            </c:extLst>
          </c:dPt>
          <c:dPt>
            <c:idx val="3"/>
            <c:invertIfNegative val="0"/>
            <c:bubble3D val="0"/>
            <c:spPr>
              <a:solidFill>
                <a:srgbClr val="46AFE6"/>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7-3FA1-44AF-B4DA-CC666219A083}"/>
              </c:ext>
            </c:extLst>
          </c:dPt>
          <c:dLbls>
            <c:spPr>
              <a:noFill/>
              <a:ln>
                <a:noFill/>
              </a:ln>
              <a:effectLst/>
            </c:spPr>
            <c:txPr>
              <a:bodyPr wrap="square" lIns="38100" tIns="19050" rIns="38100" bIns="19050" anchor="ctr">
                <a:spAutoFit/>
              </a:bodyPr>
              <a:lstStyle/>
              <a:p>
                <a:pPr>
                  <a:defRPr>
                    <a:solidFill>
                      <a:schemeClr val="bg1"/>
                    </a:solidFill>
                  </a:defRPr>
                </a:pPr>
                <a:endParaRPr lang="uk-UA"/>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'Capital need'!$D$6:$E$9</c:f>
              <c:multiLvlStrCache>
                <c:ptCount val="4"/>
                <c:lvl>
                  <c:pt idx="0">
                    <c:v>total</c:v>
                  </c:pt>
                  <c:pt idx="1">
                    <c:v>after measures taken</c:v>
                  </c:pt>
                  <c:pt idx="2">
                    <c:v>total</c:v>
                  </c:pt>
                  <c:pt idx="3">
                    <c:v>after measures taken</c:v>
                  </c:pt>
                </c:lvl>
                <c:lvl>
                  <c:pt idx="0">
                    <c:v>capitalization program till 01.04.19</c:v>
                  </c:pt>
                  <c:pt idx="2">
                    <c:v>restructuring plan till 31.12.19</c:v>
                  </c:pt>
                </c:lvl>
              </c:multiLvlStrCache>
            </c:multiLvlStrRef>
          </c:cat>
          <c:val>
            <c:numRef>
              <c:f>'Capital need'!$F$6:$F$9</c:f>
              <c:numCache>
                <c:formatCode>#,##0</c:formatCode>
                <c:ptCount val="4"/>
                <c:pt idx="0">
                  <c:v>0</c:v>
                </c:pt>
                <c:pt idx="1">
                  <c:v>0</c:v>
                </c:pt>
                <c:pt idx="2">
                  <c:v>0</c:v>
                </c:pt>
                <c:pt idx="3">
                  <c:v>0</c:v>
                </c:pt>
              </c:numCache>
            </c:numRef>
          </c:val>
          <c:extLst>
            <c:ext xmlns:c16="http://schemas.microsoft.com/office/drawing/2014/chart" uri="{C3380CC4-5D6E-409C-BE32-E72D297353CC}">
              <c16:uniqueId val="{00000008-3FA1-44AF-B4DA-CC666219A083}"/>
            </c:ext>
          </c:extLst>
        </c:ser>
        <c:dLbls>
          <c:showLegendKey val="0"/>
          <c:showVal val="1"/>
          <c:showCatName val="0"/>
          <c:showSerName val="0"/>
          <c:showPercent val="0"/>
          <c:showBubbleSize val="0"/>
        </c:dLbls>
        <c:gapWidth val="70"/>
        <c:axId val="409803832"/>
        <c:axId val="409802192"/>
      </c:barChart>
      <c:catAx>
        <c:axId val="4098038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ln>
          <a:effectLst/>
        </c:spPr>
        <c:txPr>
          <a:bodyPr rot="0" vert="horz"/>
          <a:lstStyle/>
          <a:p>
            <a:pPr>
              <a:defRPr sz="750">
                <a:latin typeface="Arial"/>
                <a:ea typeface="Arial"/>
                <a:cs typeface="Arial"/>
              </a:defRPr>
            </a:pPr>
            <a:endParaRPr lang="uk-UA"/>
          </a:p>
        </c:txPr>
        <c:crossAx val="409802192"/>
        <c:crosses val="autoZero"/>
        <c:auto val="1"/>
        <c:lblAlgn val="ctr"/>
        <c:lblOffset val="100"/>
        <c:noMultiLvlLbl val="0"/>
      </c:catAx>
      <c:valAx>
        <c:axId val="40980219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cap="flat" cmpd="sng" algn="ctr">
            <a:solidFill>
              <a:srgbClr val="505050"/>
            </a:solidFill>
            <a:prstDash val="solid"/>
            <a:round/>
          </a:ln>
          <a:effectLst/>
          <a:extLst/>
        </c:spPr>
        <c:txPr>
          <a:bodyPr rot="0" vert="horz"/>
          <a:lstStyle/>
          <a:p>
            <a:pPr>
              <a:defRPr sz="750">
                <a:latin typeface="Arial"/>
                <a:ea typeface="Arial"/>
                <a:cs typeface="Arial"/>
              </a:defRPr>
            </a:pPr>
            <a:endParaRPr lang="uk-UA"/>
          </a:p>
        </c:txPr>
        <c:crossAx val="409803832"/>
        <c:crosses val="autoZero"/>
        <c:crossBetween val="between"/>
      </c:valAx>
      <c:spPr>
        <a:noFill/>
        <a:ln w="9525">
          <a:solidFill>
            <a:srgbClr val="505050"/>
          </a:solidFill>
        </a:ln>
        <a:effectLst/>
        <a:extLst>
          <a:ext uri="{909E8E84-426E-40DD-AFC4-6F175D3DCCD1}">
            <a14:hiddenFill xmlns:a14="http://schemas.microsoft.com/office/drawing/2010/main">
              <a:solidFill>
                <a:sysClr val="window" lastClr="FFFFFF"/>
              </a:solidFill>
            </a14:hiddenFill>
          </a:ext>
        </a:extLst>
      </c:spPr>
    </c:plotArea>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rgbClr val="FFFFFF"/>
          </a:solidFill>
        </a14:hiddenFill>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trlProps/ctrlProp1.xml><?xml version="1.0" encoding="utf-8"?>
<formControlPr xmlns="http://schemas.microsoft.com/office/spreadsheetml/2009/9/main" objectType="Drop" dropLines="23" dropStyle="combo" dx="20" fmlaLink="$C$2" fmlaRange="'Data table'!$C$10:$C$34" sel="25" val="2"/>
</file>

<file path=xl/ctrlProps/ctrlProp10.xml><?xml version="1.0" encoding="utf-8"?>
<formControlPr xmlns="http://schemas.microsoft.com/office/spreadsheetml/2009/9/main" objectType="Drop" dropLines="23" dropStyle="combo" dx="20" fmlaLink="$J$4" fmlaRange="'Data table'!$C$10:$C$34" sel="25" val="2"/>
</file>

<file path=xl/ctrlProps/ctrlProp11.xml><?xml version="1.0" encoding="utf-8"?>
<formControlPr xmlns="http://schemas.microsoft.com/office/spreadsheetml/2009/9/main" objectType="Drop" dropLines="23" dropStyle="combo" dx="20" fmlaLink="$L$4" fmlaRange="'Data table'!$C$10:$C$34" sel="25" val="2"/>
</file>

<file path=xl/ctrlProps/ctrlProp2.xml><?xml version="1.0" encoding="utf-8"?>
<formControlPr xmlns="http://schemas.microsoft.com/office/spreadsheetml/2009/9/main" objectType="Drop" dropLines="2" dropStyle="combo" dx="20" fmlaLink="$I$1" fmlaRange="$B$35:$B$36" sel="2" val="0"/>
</file>

<file path=xl/ctrlProps/ctrlProp3.xml><?xml version="1.0" encoding="utf-8"?>
<formControlPr xmlns="http://schemas.microsoft.com/office/spreadsheetml/2009/9/main" objectType="Drop" dropLines="23" dropStyle="combo" dx="20" fmlaLink="$H$2" fmlaRange="'Data table'!$C$10:$C$34" sel="25" val="2"/>
</file>

<file path=xl/ctrlProps/ctrlProp4.xml><?xml version="1.0" encoding="utf-8"?>
<formControlPr xmlns="http://schemas.microsoft.com/office/spreadsheetml/2009/9/main" objectType="Drop" dropLines="23" dropStyle="combo" dx="20" fmlaLink="$C$4" fmlaRange="'Data table'!$C$10:$C$34" sel="25" val="2"/>
</file>

<file path=xl/ctrlProps/ctrlProp5.xml><?xml version="1.0" encoding="utf-8"?>
<formControlPr xmlns="http://schemas.microsoft.com/office/spreadsheetml/2009/9/main" objectType="Drop" dropLines="23" dropStyle="combo" dx="20" fmlaLink="$G$4" fmlaRange="'Data table'!$C$10:$C$34" sel="25" val="2"/>
</file>

<file path=xl/ctrlProps/ctrlProp6.xml><?xml version="1.0" encoding="utf-8"?>
<formControlPr xmlns="http://schemas.microsoft.com/office/spreadsheetml/2009/9/main" objectType="Drop" dropLines="23" dropStyle="combo" dx="20" fmlaLink="$K$4" fmlaRange="'Data table'!$C$10:$C$34" sel="25" val="2"/>
</file>

<file path=xl/ctrlProps/ctrlProp7.xml><?xml version="1.0" encoding="utf-8"?>
<formControlPr xmlns="http://schemas.microsoft.com/office/spreadsheetml/2009/9/main" objectType="Drop" dropLines="23" dropStyle="combo" dx="20" fmlaLink="$O$4" fmlaRange="'Data table'!$C$10:$C$34" sel="25" val="2"/>
</file>

<file path=xl/ctrlProps/ctrlProp8.xml><?xml version="1.0" encoding="utf-8"?>
<formControlPr xmlns="http://schemas.microsoft.com/office/spreadsheetml/2009/9/main" objectType="Drop" dropLines="23" dropStyle="combo" dx="20" fmlaLink="$F$4" fmlaRange="'Data table'!$C$10:$C$34" sel="25" val="2"/>
</file>

<file path=xl/ctrlProps/ctrlProp9.xml><?xml version="1.0" encoding="utf-8"?>
<formControlPr xmlns="http://schemas.microsoft.com/office/spreadsheetml/2009/9/main" objectType="Drop" dropLines="23" dropStyle="combo" dx="20" fmlaLink="$H$4" fmlaRange="'Data table'!$C$10:$C$34" sel="25" val="2"/>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6</xdr:col>
      <xdr:colOff>189687</xdr:colOff>
      <xdr:row>15</xdr:row>
      <xdr:rowOff>294155</xdr:rowOff>
    </xdr:from>
    <xdr:to>
      <xdr:col>9</xdr:col>
      <xdr:colOff>694746</xdr:colOff>
      <xdr:row>30</xdr:row>
      <xdr:rowOff>133284</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130307</xdr:colOff>
      <xdr:row>16</xdr:row>
      <xdr:rowOff>40862</xdr:rowOff>
    </xdr:from>
    <xdr:to>
      <xdr:col>5</xdr:col>
      <xdr:colOff>718289</xdr:colOff>
      <xdr:row>31</xdr:row>
      <xdr:rowOff>143435</xdr:rowOff>
    </xdr:to>
    <xdr:graphicFrame macro="">
      <xdr:nvGraphicFramePr>
        <xdr:cNvPr id="3" name="Діагра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7620</xdr:colOff>
          <xdr:row>0</xdr:row>
          <xdr:rowOff>144780</xdr:rowOff>
        </xdr:from>
        <xdr:to>
          <xdr:col>4</xdr:col>
          <xdr:colOff>838200</xdr:colOff>
          <xdr:row>2</xdr:row>
          <xdr:rowOff>22860</xdr:rowOff>
        </xdr:to>
        <xdr:sp macro="" textlink="">
          <xdr:nvSpPr>
            <xdr:cNvPr id="1034" name="Drop Down 10"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632460</xdr:colOff>
          <xdr:row>0</xdr:row>
          <xdr:rowOff>0</xdr:rowOff>
        </xdr:from>
        <xdr:to>
          <xdr:col>10</xdr:col>
          <xdr:colOff>30480</xdr:colOff>
          <xdr:row>1</xdr:row>
          <xdr:rowOff>38100</xdr:rowOff>
        </xdr:to>
        <xdr:sp macro="" textlink="">
          <xdr:nvSpPr>
            <xdr:cNvPr id="1039" name="Drop Down 15"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1566621</xdr:colOff>
      <xdr:row>21</xdr:row>
      <xdr:rowOff>18273</xdr:rowOff>
    </xdr:from>
    <xdr:to>
      <xdr:col>5</xdr:col>
      <xdr:colOff>621069</xdr:colOff>
      <xdr:row>37</xdr:row>
      <xdr:rowOff>57148</xdr:rowOff>
    </xdr:to>
    <xdr:graphicFrame macro="">
      <xdr:nvGraphicFramePr>
        <xdr:cNvPr id="5" name="Діагра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31453</xdr:colOff>
      <xdr:row>20</xdr:row>
      <xdr:rowOff>124902</xdr:rowOff>
    </xdr:from>
    <xdr:to>
      <xdr:col>10</xdr:col>
      <xdr:colOff>653501</xdr:colOff>
      <xdr:row>36</xdr:row>
      <xdr:rowOff>39780</xdr:rowOff>
    </xdr:to>
    <xdr:graphicFrame macro="">
      <xdr:nvGraphicFramePr>
        <xdr:cNvPr id="6" name="Діагра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6</xdr:col>
          <xdr:colOff>822960</xdr:colOff>
          <xdr:row>0</xdr:row>
          <xdr:rowOff>160020</xdr:rowOff>
        </xdr:from>
        <xdr:to>
          <xdr:col>10</xdr:col>
          <xdr:colOff>83820</xdr:colOff>
          <xdr:row>2</xdr:row>
          <xdr:rowOff>30480</xdr:rowOff>
        </xdr:to>
        <xdr:sp macro="" textlink="">
          <xdr:nvSpPr>
            <xdr:cNvPr id="2052" name="Drop Down 4" hidden="1">
              <a:extLst>
                <a:ext uri="{63B3BB69-23CF-44E3-9099-C40C66FF867C}">
                  <a14:compatExt spid="_x0000_s2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1604682</xdr:colOff>
      <xdr:row>19</xdr:row>
      <xdr:rowOff>161150</xdr:rowOff>
    </xdr:from>
    <xdr:to>
      <xdr:col>5</xdr:col>
      <xdr:colOff>621600</xdr:colOff>
      <xdr:row>35</xdr:row>
      <xdr:rowOff>3521</xdr:rowOff>
    </xdr:to>
    <xdr:graphicFrame macro="">
      <xdr:nvGraphicFramePr>
        <xdr:cNvPr id="2" name="Діагра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699247</xdr:colOff>
      <xdr:row>20</xdr:row>
      <xdr:rowOff>8965</xdr:rowOff>
    </xdr:from>
    <xdr:to>
      <xdr:col>9</xdr:col>
      <xdr:colOff>583155</xdr:colOff>
      <xdr:row>35</xdr:row>
      <xdr:rowOff>21665</xdr:rowOff>
    </xdr:to>
    <xdr:graphicFrame macro="">
      <xdr:nvGraphicFramePr>
        <xdr:cNvPr id="4" name="Діагра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644339</xdr:colOff>
      <xdr:row>19</xdr:row>
      <xdr:rowOff>144555</xdr:rowOff>
    </xdr:from>
    <xdr:to>
      <xdr:col>13</xdr:col>
      <xdr:colOff>629996</xdr:colOff>
      <xdr:row>34</xdr:row>
      <xdr:rowOff>157255</xdr:rowOff>
    </xdr:to>
    <xdr:graphicFrame macro="">
      <xdr:nvGraphicFramePr>
        <xdr:cNvPr id="5" name="Діагра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100853</xdr:colOff>
      <xdr:row>19</xdr:row>
      <xdr:rowOff>145117</xdr:rowOff>
    </xdr:from>
    <xdr:to>
      <xdr:col>17</xdr:col>
      <xdr:colOff>722106</xdr:colOff>
      <xdr:row>34</xdr:row>
      <xdr:rowOff>157817</xdr:rowOff>
    </xdr:to>
    <xdr:graphicFrame macro="">
      <xdr:nvGraphicFramePr>
        <xdr:cNvPr id="6" name="Діагра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312420</xdr:colOff>
          <xdr:row>3</xdr:row>
          <xdr:rowOff>45720</xdr:rowOff>
        </xdr:from>
        <xdr:to>
          <xdr:col>5</xdr:col>
          <xdr:colOff>426720</xdr:colOff>
          <xdr:row>3</xdr:row>
          <xdr:rowOff>266700</xdr:rowOff>
        </xdr:to>
        <xdr:sp macro="" textlink="">
          <xdr:nvSpPr>
            <xdr:cNvPr id="6146" name="Drop Down 2" hidden="1">
              <a:extLst>
                <a:ext uri="{63B3BB69-23CF-44E3-9099-C40C66FF867C}">
                  <a14:compatExt spid="_x0000_s6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3</xdr:row>
          <xdr:rowOff>38100</xdr:rowOff>
        </xdr:from>
        <xdr:to>
          <xdr:col>9</xdr:col>
          <xdr:colOff>411480</xdr:colOff>
          <xdr:row>3</xdr:row>
          <xdr:rowOff>259080</xdr:rowOff>
        </xdr:to>
        <xdr:sp macro="" textlink="">
          <xdr:nvSpPr>
            <xdr:cNvPr id="6147" name="Drop Down 3" hidden="1">
              <a:extLst>
                <a:ext uri="{63B3BB69-23CF-44E3-9099-C40C66FF867C}">
                  <a14:compatExt spid="_x0000_s6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335280</xdr:colOff>
          <xdr:row>3</xdr:row>
          <xdr:rowOff>45720</xdr:rowOff>
        </xdr:from>
        <xdr:to>
          <xdr:col>13</xdr:col>
          <xdr:colOff>518160</xdr:colOff>
          <xdr:row>3</xdr:row>
          <xdr:rowOff>274320</xdr:rowOff>
        </xdr:to>
        <xdr:sp macro="" textlink="">
          <xdr:nvSpPr>
            <xdr:cNvPr id="6148" name="Drop Down 4" hidden="1">
              <a:extLst>
                <a:ext uri="{63B3BB69-23CF-44E3-9099-C40C66FF867C}">
                  <a14:compatExt spid="_x0000_s61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3</xdr:row>
          <xdr:rowOff>38100</xdr:rowOff>
        </xdr:from>
        <xdr:to>
          <xdr:col>17</xdr:col>
          <xdr:colOff>411480</xdr:colOff>
          <xdr:row>3</xdr:row>
          <xdr:rowOff>266700</xdr:rowOff>
        </xdr:to>
        <xdr:sp macro="" textlink="">
          <xdr:nvSpPr>
            <xdr:cNvPr id="6150" name="Drop Down 6" hidden="1">
              <a:extLst>
                <a:ext uri="{63B3BB69-23CF-44E3-9099-C40C66FF867C}">
                  <a14:compatExt spid="_x0000_s61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1323254</xdr:colOff>
      <xdr:row>10</xdr:row>
      <xdr:rowOff>462327</xdr:rowOff>
    </xdr:from>
    <xdr:to>
      <xdr:col>3</xdr:col>
      <xdr:colOff>1454138</xdr:colOff>
      <xdr:row>24</xdr:row>
      <xdr:rowOff>71719</xdr:rowOff>
    </xdr:to>
    <xdr:graphicFrame macro="">
      <xdr:nvGraphicFramePr>
        <xdr:cNvPr id="4" name="Діагра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22860</xdr:colOff>
          <xdr:row>3</xdr:row>
          <xdr:rowOff>22860</xdr:rowOff>
        </xdr:from>
        <xdr:to>
          <xdr:col>6</xdr:col>
          <xdr:colOff>1280160</xdr:colOff>
          <xdr:row>3</xdr:row>
          <xdr:rowOff>259080</xdr:rowOff>
        </xdr:to>
        <xdr:sp macro="" textlink="">
          <xdr:nvSpPr>
            <xdr:cNvPr id="4100" name="Drop Down 4" hidden="1">
              <a:extLst>
                <a:ext uri="{63B3BB69-23CF-44E3-9099-C40C66FF867C}">
                  <a14:compatExt spid="_x0000_s4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3</xdr:row>
          <xdr:rowOff>22860</xdr:rowOff>
        </xdr:from>
        <xdr:to>
          <xdr:col>8</xdr:col>
          <xdr:colOff>1242060</xdr:colOff>
          <xdr:row>3</xdr:row>
          <xdr:rowOff>259080</xdr:rowOff>
        </xdr:to>
        <xdr:sp macro="" textlink="">
          <xdr:nvSpPr>
            <xdr:cNvPr id="4101" name="Drop Down 5" hidden="1">
              <a:extLst>
                <a:ext uri="{63B3BB69-23CF-44E3-9099-C40C66FF867C}">
                  <a14:compatExt spid="_x0000_s4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3</xdr:row>
          <xdr:rowOff>22860</xdr:rowOff>
        </xdr:from>
        <xdr:to>
          <xdr:col>10</xdr:col>
          <xdr:colOff>1264920</xdr:colOff>
          <xdr:row>3</xdr:row>
          <xdr:rowOff>251460</xdr:rowOff>
        </xdr:to>
        <xdr:sp macro="" textlink="">
          <xdr:nvSpPr>
            <xdr:cNvPr id="4103" name="Drop Down 7" hidden="1">
              <a:extLst>
                <a:ext uri="{63B3BB69-23CF-44E3-9099-C40C66FF867C}">
                  <a14:compatExt spid="_x0000_s41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3</xdr:row>
          <xdr:rowOff>22860</xdr:rowOff>
        </xdr:from>
        <xdr:to>
          <xdr:col>12</xdr:col>
          <xdr:colOff>1280160</xdr:colOff>
          <xdr:row>3</xdr:row>
          <xdr:rowOff>251460</xdr:rowOff>
        </xdr:to>
        <xdr:sp macro="" textlink="">
          <xdr:nvSpPr>
            <xdr:cNvPr id="4104" name="Drop Down 8" hidden="1">
              <a:extLst>
                <a:ext uri="{63B3BB69-23CF-44E3-9099-C40C66FF867C}">
                  <a14:compatExt spid="_x0000_s41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143435</xdr:colOff>
      <xdr:row>10</xdr:row>
      <xdr:rowOff>448235</xdr:rowOff>
    </xdr:from>
    <xdr:to>
      <xdr:col>6</xdr:col>
      <xdr:colOff>982531</xdr:colOff>
      <xdr:row>24</xdr:row>
      <xdr:rowOff>57627</xdr:rowOff>
    </xdr:to>
    <xdr:graphicFrame macro="">
      <xdr:nvGraphicFramePr>
        <xdr:cNvPr id="12" name="Діаграма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98612</xdr:colOff>
      <xdr:row>10</xdr:row>
      <xdr:rowOff>466165</xdr:rowOff>
    </xdr:from>
    <xdr:to>
      <xdr:col>10</xdr:col>
      <xdr:colOff>937708</xdr:colOff>
      <xdr:row>24</xdr:row>
      <xdr:rowOff>75557</xdr:rowOff>
    </xdr:to>
    <xdr:graphicFrame macro="">
      <xdr:nvGraphicFramePr>
        <xdr:cNvPr id="13" name="Діаграма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1281952</xdr:colOff>
      <xdr:row>10</xdr:row>
      <xdr:rowOff>457200</xdr:rowOff>
    </xdr:from>
    <xdr:to>
      <xdr:col>13</xdr:col>
      <xdr:colOff>1215614</xdr:colOff>
      <xdr:row>24</xdr:row>
      <xdr:rowOff>66592</xdr:rowOff>
    </xdr:to>
    <xdr:graphicFrame macro="">
      <xdr:nvGraphicFramePr>
        <xdr:cNvPr id="14" name="Діаграма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8.xml"/><Relationship Id="rId2" Type="http://schemas.openxmlformats.org/officeDocument/2006/relationships/vmlDrawing" Target="../drawings/vmlDrawing4.vml"/><Relationship Id="rId1" Type="http://schemas.openxmlformats.org/officeDocument/2006/relationships/drawing" Target="../drawings/drawing4.xml"/><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Аркуш1"/>
  <dimension ref="A1:O36"/>
  <sheetViews>
    <sheetView tabSelected="1" zoomScale="85" zoomScaleNormal="85" workbookViewId="0">
      <selection activeCell="G34" sqref="G34"/>
    </sheetView>
  </sheetViews>
  <sheetFormatPr defaultColWidth="8.88671875" defaultRowHeight="13.2" x14ac:dyDescent="0.25"/>
  <cols>
    <col min="1" max="1" width="3.6640625" style="29" customWidth="1"/>
    <col min="2" max="2" width="36.5546875" style="29" customWidth="1"/>
    <col min="3" max="5" width="12.33203125" style="29" customWidth="1"/>
    <col min="6" max="10" width="12.44140625" style="29" customWidth="1"/>
    <col min="11" max="11" width="13.44140625" style="29" customWidth="1"/>
    <col min="12" max="12" width="11.88671875" style="29" customWidth="1"/>
    <col min="13" max="16" width="8.88671875" style="29"/>
    <col min="17" max="17" width="3.5546875" style="29" customWidth="1"/>
    <col min="18" max="16384" width="8.88671875" style="29"/>
  </cols>
  <sheetData>
    <row r="1" spans="1:15" x14ac:dyDescent="0.25">
      <c r="I1" s="29">
        <v>2</v>
      </c>
      <c r="J1" s="122" t="str">
        <f>INDEX($B$35:$B$36,I1,1)</f>
        <v>ENG</v>
      </c>
      <c r="K1" s="129" t="str">
        <f>IF($J$1="ENG","Змінити мову тут","Change language here")</f>
        <v>Змінити мову тут</v>
      </c>
    </row>
    <row r="2" spans="1:15" x14ac:dyDescent="0.25">
      <c r="B2" s="33" t="str">
        <f>IF($J$1="ENG","Diagnostic study results","Результати оцінки стійкості")</f>
        <v>Diagnostic study results</v>
      </c>
      <c r="C2" s="93">
        <v>25</v>
      </c>
      <c r="D2" s="92" t="e">
        <f>INDEX('Data table'!$C$10:$C$33,'Individual banks'!C2,1)</f>
        <v>#REF!</v>
      </c>
      <c r="E2" s="90"/>
      <c r="F2" s="90"/>
      <c r="G2" s="90"/>
    </row>
    <row r="3" spans="1:15" x14ac:dyDescent="0.25">
      <c r="B3" s="40"/>
      <c r="C3" s="40"/>
      <c r="D3" s="40"/>
      <c r="E3" s="40"/>
      <c r="F3" s="40"/>
      <c r="G3" s="40"/>
      <c r="H3" s="40"/>
      <c r="I3" s="40"/>
      <c r="J3" s="41" t="s">
        <v>103</v>
      </c>
    </row>
    <row r="4" spans="1:15" ht="27" customHeight="1" x14ac:dyDescent="0.25">
      <c r="B4" s="139" t="str">
        <f>IF($J$1="ENG","Indicator","Показник")</f>
        <v>Indicator</v>
      </c>
      <c r="C4" s="136" t="str">
        <f>IF($J$1="ENG","Bank's data as of 01.01.18","Дані банку на 01.01.18")</f>
        <v>Bank's data as of 01.01.18</v>
      </c>
      <c r="D4" s="136" t="str">
        <f>IF($J$1="ENG","AQR as of 01.01.18","AQR на 01.01.18")</f>
        <v>AQR as of 01.01.18</v>
      </c>
      <c r="E4" s="137" t="str">
        <f>IF($J$1="ENG","Baseline scenario","За базовим макроекономічним сценарієм")</f>
        <v>Baseline scenario</v>
      </c>
      <c r="F4" s="137"/>
      <c r="G4" s="137"/>
      <c r="H4" s="137" t="str">
        <f>IF($J$1="ENG","Adverse scenario","За несприятливим макроекономічним сценарієм")</f>
        <v>Adverse scenario</v>
      </c>
      <c r="I4" s="137"/>
      <c r="J4" s="137"/>
    </row>
    <row r="5" spans="1:15" ht="15.6" customHeight="1" x14ac:dyDescent="0.25">
      <c r="B5" s="139"/>
      <c r="C5" s="137"/>
      <c r="D5" s="137"/>
      <c r="E5" s="39" t="str">
        <f>'Data table'!P7</f>
        <v>1st</v>
      </c>
      <c r="F5" s="117" t="str">
        <f>'Data table'!Q7</f>
        <v>2nd</v>
      </c>
      <c r="G5" s="117" t="str">
        <f>'Data table'!R7</f>
        <v>3rd</v>
      </c>
      <c r="H5" s="39" t="str">
        <f>E5</f>
        <v>1st</v>
      </c>
      <c r="I5" s="117" t="str">
        <f t="shared" ref="I5:J5" si="0">F5</f>
        <v>2nd</v>
      </c>
      <c r="J5" s="117" t="str">
        <f t="shared" si="0"/>
        <v>3rd</v>
      </c>
    </row>
    <row r="6" spans="1:15" x14ac:dyDescent="0.25">
      <c r="B6" s="139"/>
      <c r="C6" s="138"/>
      <c r="D6" s="138"/>
      <c r="E6" s="138" t="str">
        <f>'Data table'!P8</f>
        <v>forecast year</v>
      </c>
      <c r="F6" s="137"/>
      <c r="G6" s="137"/>
      <c r="H6" s="137" t="str">
        <f>E6</f>
        <v>forecast year</v>
      </c>
      <c r="I6" s="137"/>
      <c r="J6" s="137"/>
    </row>
    <row r="7" spans="1:15" x14ac:dyDescent="0.25">
      <c r="B7" s="56" t="str">
        <f>'Data table'!E6</f>
        <v>Core capital, UAH mln</v>
      </c>
      <c r="C7" s="55" t="str">
        <f>IFERROR(INDEX('Data table'!$E$10:$AX$33,MATCH('Individual banks'!$D$2,'Data table'!$C$10:$C$33,0),MATCH('Individual banks'!$B7,'Data table'!$E$6:$I$6,0)),"")</f>
        <v/>
      </c>
      <c r="D7" s="55" t="str">
        <f ca="1">IFERROR(OFFSET(INDEX('Data table'!$E$10:$AX$33,MATCH('Individual banks'!$D$2,'Data table'!$C$10:$C$33,0),MATCH('Individual banks'!$B7,'Data table'!$J$6:$O$6,0)),0,5),"")</f>
        <v/>
      </c>
      <c r="E7" s="57" t="str">
        <f ca="1">IFERROR(OFFSET(INDEX('Data table'!$E$10:$AX$33,MATCH('Individual banks'!$D$2,'Data table'!$C$10:$C$33,0),MATCH(E$5,'Data table'!$P$7:$R$7,0)),0,11),"")</f>
        <v/>
      </c>
      <c r="F7" s="57" t="str">
        <f ca="1">IFERROR(OFFSET(INDEX('Data table'!$E$10:$AX$33,MATCH('Individual banks'!$D$2,'Data table'!$C$10:$C$33,0),MATCH(F$5,'Data table'!$P$7:$R$7,0)),0,11),"")</f>
        <v/>
      </c>
      <c r="G7" s="57" t="str">
        <f ca="1">IFERROR(OFFSET(INDEX('Data table'!$E$10:$AX$33,MATCH('Individual banks'!$D$2,'Data table'!$C$10:$C$33,0),MATCH(G$5,'Data table'!$P$7:$R$7,0)),0,11),"")</f>
        <v/>
      </c>
      <c r="H7" s="57" t="str">
        <f ca="1">IFERROR(OFFSET(INDEX('Data table'!$E$10:$AX$33,MATCH('Individual banks'!$D$2,'Data table'!$C$10:$C$33,0),MATCH(H$5,'Data table'!$P$7:$R$7,0)),0,26),"")</f>
        <v/>
      </c>
      <c r="I7" s="57" t="str">
        <f ca="1">IFERROR(OFFSET(INDEX('Data table'!$E$10:$AX$33,MATCH('Individual banks'!$D$2,'Data table'!$C$10:$C$33,0),MATCH(I$5,'Data table'!$P$7:$R$7,0)),0,26),"")</f>
        <v/>
      </c>
      <c r="J7" s="57" t="str">
        <f ca="1">IFERROR(OFFSET(INDEX('Data table'!$E$10:$AX$33,MATCH('Individual banks'!$D$2,'Data table'!$C$10:$C$33,0),MATCH(J$5,'Data table'!$P$7:$R$7,0)),0,26),"")</f>
        <v/>
      </c>
      <c r="K7" s="58"/>
      <c r="L7" s="85"/>
      <c r="M7" s="85"/>
      <c r="N7" s="111"/>
      <c r="O7" s="111"/>
    </row>
    <row r="8" spans="1:15" x14ac:dyDescent="0.25">
      <c r="B8" s="59" t="str">
        <f>'Data table'!F6</f>
        <v>Regulatory capital, UAH mln</v>
      </c>
      <c r="C8" s="60" t="str">
        <f>IFERROR(INDEX('Data table'!$E$10:$AX$33,MATCH('Individual banks'!$D$2,'Data table'!$C$10:$C$33,0),MATCH('Individual banks'!$B8,'Data table'!$E$6:$I$6,0)),"")</f>
        <v/>
      </c>
      <c r="D8" s="88" t="str">
        <f ca="1">IFERROR(OFFSET(INDEX('Data table'!$E$10:$AX$33,MATCH('Individual banks'!$D$2,'Data table'!$C$10:$C$33,0),MATCH('Individual banks'!$B8,'Data table'!$J$6:$O$6,0)),0,5),"")</f>
        <v/>
      </c>
      <c r="E8" s="61" t="str">
        <f ca="1">IFERROR(OFFSET(INDEX('Data table'!$E$10:$AX$33,MATCH('Individual banks'!$D$2,'Data table'!$C$10:$C$33,0),MATCH(E$5,'Data table'!$P$7:$R$7,0)),0,14),"")</f>
        <v/>
      </c>
      <c r="F8" s="61" t="str">
        <f ca="1">IFERROR(OFFSET(INDEX('Data table'!$E$10:$AX$33,MATCH('Individual banks'!$D$2,'Data table'!$C$10:$C$33,0),MATCH(F$5,'Data table'!$P$7:$R$7,0)),0,14),"")</f>
        <v/>
      </c>
      <c r="G8" s="61" t="str">
        <f ca="1">IFERROR(OFFSET(INDEX('Data table'!$E$10:$AX$33,MATCH('Individual banks'!$D$2,'Data table'!$C$10:$C$33,0),MATCH(G$5,'Data table'!$P$7:$R$7,0)),0,14),"")</f>
        <v/>
      </c>
      <c r="H8" s="61" t="str">
        <f ca="1">IFERROR(OFFSET(INDEX('Data table'!$E$10:$AX$33,MATCH('Individual banks'!$D$2,'Data table'!$C$10:$C$33,0),MATCH(H$5,'Data table'!$P$7:$R$7,0)),0,29),"")</f>
        <v/>
      </c>
      <c r="I8" s="61" t="str">
        <f ca="1">IFERROR(OFFSET(INDEX('Data table'!$E$10:$AX$33,MATCH('Individual banks'!$D$2,'Data table'!$C$10:$C$33,0),MATCH(I$5,'Data table'!$P$7:$R$7,0)),0,29),"")</f>
        <v/>
      </c>
      <c r="J8" s="61" t="str">
        <f ca="1">IFERROR(OFFSET(INDEX('Data table'!$E$10:$AX$33,MATCH('Individual banks'!$D$2,'Data table'!$C$10:$C$33,0),MATCH(J$5,'Data table'!$P$7:$R$7,0)),0,29),"")</f>
        <v/>
      </c>
      <c r="L8" s="85"/>
      <c r="M8" s="85"/>
      <c r="N8" s="111"/>
      <c r="O8" s="111"/>
    </row>
    <row r="9" spans="1:15" x14ac:dyDescent="0.25">
      <c r="B9" s="52" t="str">
        <f>'Data table'!G6</f>
        <v>CAR</v>
      </c>
      <c r="C9" s="46" t="str">
        <f>IFERROR(INDEX('Data table'!$E$10:$AX$33,MATCH('Individual banks'!$D$2,'Data table'!$C$10:$C$33,0),MATCH('Individual banks'!$B9,'Data table'!$E$6:$I$6,0)),"")</f>
        <v/>
      </c>
      <c r="D9" s="42" t="str">
        <f ca="1">IFERROR(OFFSET(INDEX('Data table'!$E$10:$AX$33,MATCH('Individual banks'!$D$2,'Data table'!$C$10:$C$33,0),MATCH('Individual banks'!$B9,'Data table'!$J$6:$O$6,0)),0,5),"")</f>
        <v/>
      </c>
      <c r="E9" s="44" t="str">
        <f ca="1">IFERROR(OFFSET(INDEX('Data table'!$E$10:$AX$33,MATCH('Individual banks'!$D$2,'Data table'!$C$10:$C$33,0),MATCH(E$5,'Data table'!$P$7:$R$7,0)),0,17),"")</f>
        <v/>
      </c>
      <c r="F9" s="44" t="str">
        <f ca="1">IFERROR(OFFSET(INDEX('Data table'!$E$10:$AX$33,MATCH('Individual banks'!$D$2,'Data table'!$C$10:$C$33,0),MATCH(F$5,'Data table'!$P$7:$R$7,0)),0,17),"")</f>
        <v/>
      </c>
      <c r="G9" s="44" t="str">
        <f ca="1">IFERROR(OFFSET(INDEX('Data table'!$E$10:$AX$33,MATCH('Individual banks'!$D$2,'Data table'!$C$10:$C$33,0),MATCH(G$5,'Data table'!$P$7:$R$7,0)),0,17),"")</f>
        <v/>
      </c>
      <c r="H9" s="44" t="str">
        <f ca="1">IFERROR(OFFSET(INDEX('Data table'!$E$10:$AX$33,MATCH('Individual banks'!$D$2,'Data table'!$C$10:$C$33,0),MATCH(H$5,'Data table'!$P$7:$R$7,0)),0,32),"")</f>
        <v/>
      </c>
      <c r="I9" s="44" t="str">
        <f ca="1">IFERROR(OFFSET(INDEX('Data table'!$E$10:$AX$33,MATCH('Individual banks'!$D$2,'Data table'!$C$10:$C$33,0),MATCH(I$5,'Data table'!$P$7:$R$7,0)),0,32),"")</f>
        <v/>
      </c>
      <c r="J9" s="44" t="str">
        <f ca="1">IFERROR(OFFSET(INDEX('Data table'!$E$10:$AX$33,MATCH('Individual banks'!$D$2,'Data table'!$C$10:$C$33,0),MATCH(J$5,'Data table'!$P$7:$R$7,0)),0,32),"")</f>
        <v/>
      </c>
    </row>
    <row r="10" spans="1:15" x14ac:dyDescent="0.25">
      <c r="B10" s="62" t="str">
        <f>'Data table'!H6</f>
        <v>Core capital ratio</v>
      </c>
      <c r="C10" s="63" t="str">
        <f>IFERROR(INDEX('Data table'!$E$10:$AX$33,MATCH('Individual banks'!$D$2,'Data table'!$C$10:$C$33,0),MATCH('Individual banks'!$B10,'Data table'!$E$6:$I$6,0)),"")</f>
        <v/>
      </c>
      <c r="D10" s="65" t="str">
        <f ca="1">IFERROR(OFFSET(INDEX('Data table'!$E$10:$AX$33,MATCH('Individual banks'!$D$2,'Data table'!$C$10:$C$33,0),MATCH('Individual banks'!$B10,'Data table'!$J$6:$O$6,0)),0,5),"")</f>
        <v/>
      </c>
      <c r="E10" s="64" t="str">
        <f ca="1">IFERROR(OFFSET(INDEX('Data table'!$E$10:$AX$33,MATCH('Individual banks'!$D$2,'Data table'!$C$10:$C$33,0),MATCH(E$5,'Data table'!$P$7:$R$7,0)),0,20),"")</f>
        <v/>
      </c>
      <c r="F10" s="64" t="str">
        <f ca="1">IFERROR(OFFSET(INDEX('Data table'!$E$10:$AX$33,MATCH('Individual banks'!$D$2,'Data table'!$C$10:$C$33,0),MATCH(F$5,'Data table'!$P$7:$R$7,0)),0,20),"")</f>
        <v/>
      </c>
      <c r="G10" s="64" t="str">
        <f ca="1">IFERROR(OFFSET(INDEX('Data table'!$E$10:$AX$33,MATCH('Individual banks'!$D$2,'Data table'!$C$10:$C$33,0),MATCH(G$5,'Data table'!$P$7:$R$7,0)),0,20),"")</f>
        <v/>
      </c>
      <c r="H10" s="64" t="str">
        <f ca="1">IFERROR(OFFSET(INDEX('Data table'!$E$10:$AX$33,MATCH('Individual banks'!$D$2,'Data table'!$C$10:$C$33,0),MATCH(H$5,'Data table'!$P$7:$R$7,0)),0,35),"")</f>
        <v/>
      </c>
      <c r="I10" s="64" t="str">
        <f ca="1">IFERROR(OFFSET(INDEX('Data table'!$E$10:$AX$33,MATCH('Individual banks'!$D$2,'Data table'!$C$10:$C$33,0),MATCH(I$5,'Data table'!$P$7:$R$7,0)),0,35),"")</f>
        <v/>
      </c>
      <c r="J10" s="64" t="str">
        <f ca="1">IFERROR(OFFSET(INDEX('Data table'!$E$10:$AX$33,MATCH('Individual banks'!$D$2,'Data table'!$C$10:$C$33,0),MATCH(J$5,'Data table'!$P$7:$R$7,0)),0,35),"")</f>
        <v/>
      </c>
      <c r="L10" s="85"/>
      <c r="M10" s="85"/>
      <c r="N10" s="111"/>
      <c r="O10" s="111"/>
    </row>
    <row r="11" spans="1:15" ht="13.2" customHeight="1" x14ac:dyDescent="0.25">
      <c r="B11" s="53" t="str">
        <f>IF($J$1="ENG","Required level of core capital ratio","Граничне значення Н3")</f>
        <v>Required level of core capital ratio</v>
      </c>
      <c r="C11" s="47" t="str">
        <f>IF(C7="","",7%)</f>
        <v/>
      </c>
      <c r="D11" s="47" t="str">
        <f t="shared" ref="D11:G11" ca="1" si="1">IF(D7="","",7%)</f>
        <v/>
      </c>
      <c r="E11" s="47" t="str">
        <f t="shared" ca="1" si="1"/>
        <v/>
      </c>
      <c r="F11" s="47" t="str">
        <f t="shared" ca="1" si="1"/>
        <v/>
      </c>
      <c r="G11" s="47" t="str">
        <f t="shared" ca="1" si="1"/>
        <v/>
      </c>
      <c r="H11" s="47" t="str">
        <f ca="1">IF(H7="","",3.5%)</f>
        <v/>
      </c>
      <c r="I11" s="47" t="str">
        <f t="shared" ref="I11:J11" ca="1" si="2">IF(I7="","",3.5%)</f>
        <v/>
      </c>
      <c r="J11" s="47" t="str">
        <f t="shared" ca="1" si="2"/>
        <v/>
      </c>
      <c r="L11" s="85"/>
      <c r="M11" s="85"/>
      <c r="N11" s="111"/>
      <c r="O11" s="111"/>
    </row>
    <row r="12" spans="1:15" ht="13.2" customHeight="1" x14ac:dyDescent="0.25">
      <c r="A12" s="54"/>
      <c r="B12" s="123" t="str">
        <f>IF($J$1="ENG","Change of core capital ratio to bank's data as of 01.01.18","Зміна Н3 до даних банку на 01.01.18, в.п.")</f>
        <v>Change of core capital ratio to bank's data as of 01.01.18</v>
      </c>
      <c r="C12" s="108" t="str">
        <f>IFERROR((C10-$C$10)*100,"")</f>
        <v/>
      </c>
      <c r="D12" s="108" t="str">
        <f ca="1">IFERROR((D10-$C$10)*100,"")</f>
        <v/>
      </c>
      <c r="E12" s="108" t="str">
        <f t="shared" ref="E12:J12" ca="1" si="3">IFERROR((E10-$C$10)*100,"")</f>
        <v/>
      </c>
      <c r="F12" s="108" t="str">
        <f t="shared" ca="1" si="3"/>
        <v/>
      </c>
      <c r="G12" s="108" t="str">
        <f t="shared" ca="1" si="3"/>
        <v/>
      </c>
      <c r="H12" s="108" t="str">
        <f t="shared" ca="1" si="3"/>
        <v/>
      </c>
      <c r="I12" s="108" t="str">
        <f t="shared" ca="1" si="3"/>
        <v/>
      </c>
      <c r="J12" s="108" t="str">
        <f t="shared" ca="1" si="3"/>
        <v/>
      </c>
      <c r="L12" s="85"/>
      <c r="M12" s="85"/>
      <c r="N12" s="111" t="str">
        <f>IFERROR(CONCATENATE(B25,G4),B25)</f>
        <v/>
      </c>
      <c r="O12" s="111"/>
    </row>
    <row r="13" spans="1:15" ht="10.199999999999999" customHeight="1" x14ac:dyDescent="0.25">
      <c r="B13" s="124" t="str">
        <f>IF($J$1="ENG","AQR - asset quality review","AQR - дані за результатами оцінки якості активів та прийнятності забезпечення за кредитними операціями банку з урахуванням коригувань фінансової звітності банку за звітний рік та екстраполяції")</f>
        <v>AQR - asset quality review</v>
      </c>
      <c r="J13" s="34"/>
      <c r="K13" s="34"/>
      <c r="L13" s="34"/>
      <c r="M13" s="34"/>
      <c r="N13" s="34"/>
    </row>
    <row r="14" spans="1:15" ht="9" customHeight="1" x14ac:dyDescent="0.25">
      <c r="B14" s="124" t="str">
        <f>IF($J$1="ENG","","ОК - основний капітал, РК - регулятивний капітал, Н2 - норматив адекватності регулятивного капіталу, Н3 - норматив адекватності основного капіталу.")</f>
        <v/>
      </c>
      <c r="J14" s="34"/>
      <c r="K14" s="34"/>
      <c r="L14" s="73"/>
      <c r="M14" s="73"/>
      <c r="N14" s="112"/>
      <c r="O14" s="111"/>
    </row>
    <row r="15" spans="1:15" x14ac:dyDescent="0.25">
      <c r="B15" s="79"/>
      <c r="L15" s="85"/>
      <c r="M15" s="85"/>
      <c r="N15" s="111"/>
      <c r="O15" s="111"/>
    </row>
    <row r="16" spans="1:15" ht="24.6" customHeight="1" x14ac:dyDescent="0.25">
      <c r="C16" s="135" t="str">
        <f>IF($J$1="ENG","Core capital ratio","Норматив достатності основного капіталу Н3")</f>
        <v>Core capital ratio</v>
      </c>
      <c r="D16" s="135"/>
      <c r="E16" s="135"/>
      <c r="F16" s="135"/>
      <c r="G16" s="134" t="str">
        <f>B12</f>
        <v>Change of core capital ratio to bank's data as of 01.01.18</v>
      </c>
      <c r="H16" s="134"/>
      <c r="I16" s="134"/>
      <c r="J16" s="134"/>
      <c r="L16" s="85"/>
      <c r="M16" s="85"/>
      <c r="N16" s="111"/>
      <c r="O16" s="111"/>
    </row>
    <row r="33" spans="2:2" x14ac:dyDescent="0.25">
      <c r="B33" s="127" t="str">
        <f>IF($J$1="ENG","Required level of core capital ratio under baseline scenario","Граничне значення Н3 за базового сценарію")</f>
        <v>Required level of core capital ratio under baseline scenario</v>
      </c>
    </row>
    <row r="34" spans="2:2" x14ac:dyDescent="0.25">
      <c r="B34" s="127" t="str">
        <f>IF($J$1="ENG","Required level of core capital ratio under adverse scenario","Граничне значення Н3 за несприятливого сценарію")</f>
        <v>Required level of core capital ratio under adverse scenario</v>
      </c>
    </row>
    <row r="35" spans="2:2" x14ac:dyDescent="0.25">
      <c r="B35" s="131" t="s">
        <v>123</v>
      </c>
    </row>
    <row r="36" spans="2:2" x14ac:dyDescent="0.25">
      <c r="B36" s="131" t="s">
        <v>122</v>
      </c>
    </row>
  </sheetData>
  <mergeCells count="9">
    <mergeCell ref="G16:J16"/>
    <mergeCell ref="C16:F16"/>
    <mergeCell ref="C4:C6"/>
    <mergeCell ref="B4:B6"/>
    <mergeCell ref="E6:G6"/>
    <mergeCell ref="H6:J6"/>
    <mergeCell ref="E4:G4"/>
    <mergeCell ref="H4:J4"/>
    <mergeCell ref="D4:D6"/>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Drop Down 10">
              <controlPr defaultSize="0" autoLine="0" autoPict="0">
                <anchor moveWithCells="1">
                  <from>
                    <xdr:col>2</xdr:col>
                    <xdr:colOff>7620</xdr:colOff>
                    <xdr:row>0</xdr:row>
                    <xdr:rowOff>144780</xdr:rowOff>
                  </from>
                  <to>
                    <xdr:col>4</xdr:col>
                    <xdr:colOff>838200</xdr:colOff>
                    <xdr:row>2</xdr:row>
                    <xdr:rowOff>22860</xdr:rowOff>
                  </to>
                </anchor>
              </controlPr>
            </control>
          </mc:Choice>
        </mc:AlternateContent>
        <mc:AlternateContent xmlns:mc="http://schemas.openxmlformats.org/markup-compatibility/2006">
          <mc:Choice Requires="x14">
            <control shapeId="1039" r:id="rId5" name="Drop Down 15">
              <controlPr defaultSize="0" autoLine="0" autoPict="0">
                <anchor moveWithCells="1">
                  <from>
                    <xdr:col>8</xdr:col>
                    <xdr:colOff>632460</xdr:colOff>
                    <xdr:row>0</xdr:row>
                    <xdr:rowOff>0</xdr:rowOff>
                  </from>
                  <to>
                    <xdr:col>10</xdr:col>
                    <xdr:colOff>30480</xdr:colOff>
                    <xdr:row>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39"/>
  <sheetViews>
    <sheetView zoomScale="85" zoomScaleNormal="85" workbookViewId="0">
      <selection activeCell="G31" sqref="G31"/>
    </sheetView>
  </sheetViews>
  <sheetFormatPr defaultColWidth="8.88671875" defaultRowHeight="13.2" x14ac:dyDescent="0.25"/>
  <cols>
    <col min="1" max="1" width="4" style="29" customWidth="1"/>
    <col min="2" max="2" width="23" style="29" customWidth="1"/>
    <col min="3" max="3" width="12" style="29" customWidth="1"/>
    <col min="4" max="4" width="12.88671875" style="29" customWidth="1"/>
    <col min="5" max="5" width="11" style="29" customWidth="1"/>
    <col min="6" max="6" width="12.33203125" style="29" customWidth="1"/>
    <col min="7" max="7" width="12" style="29" customWidth="1"/>
    <col min="8" max="8" width="13.44140625" style="29" customWidth="1"/>
    <col min="9" max="9" width="10.33203125" style="29" customWidth="1"/>
    <col min="10" max="10" width="11.6640625" style="29" customWidth="1"/>
    <col min="11" max="11" width="12.109375" style="29" customWidth="1"/>
    <col min="12" max="12" width="11.88671875" style="29" customWidth="1"/>
    <col min="13" max="13" width="10.33203125" style="29" customWidth="1"/>
    <col min="14" max="14" width="11.6640625" style="29" customWidth="1"/>
    <col min="15" max="15" width="12.44140625" style="29" customWidth="1"/>
    <col min="16" max="16384" width="8.88671875" style="29"/>
  </cols>
  <sheetData>
    <row r="1" spans="2:16" x14ac:dyDescent="0.25">
      <c r="O1" s="122" t="str">
        <f>'Individual banks'!J1</f>
        <v>ENG</v>
      </c>
      <c r="P1" s="129" t="s">
        <v>124</v>
      </c>
    </row>
    <row r="2" spans="2:16" x14ac:dyDescent="0.25">
      <c r="B2" s="97" t="str">
        <f>IF($O$1="ENG","Diagnostic study results (comparison across groups of banks)","Результати оцінки стійкості банку (порівняння із відповідною групою банків)")</f>
        <v>Diagnostic study results (comparison across groups of banks)</v>
      </c>
      <c r="H2" s="93">
        <v>25</v>
      </c>
      <c r="I2" s="94" t="e">
        <f>INDEX('Data table'!$C$10:$C$33,H2,1)</f>
        <v>#REF!</v>
      </c>
      <c r="J2" s="33"/>
      <c r="K2" s="33"/>
    </row>
    <row r="3" spans="2:16" x14ac:dyDescent="0.25">
      <c r="C3" s="38"/>
      <c r="D3" s="33"/>
      <c r="E3" s="33"/>
      <c r="F3" s="33"/>
      <c r="G3" s="33"/>
      <c r="H3" s="33"/>
      <c r="I3" s="33"/>
      <c r="J3" s="33"/>
      <c r="K3" s="33"/>
      <c r="L3" s="33"/>
      <c r="M3" s="33"/>
      <c r="N3" s="33"/>
    </row>
    <row r="4" spans="2:16" x14ac:dyDescent="0.25">
      <c r="B4" s="40"/>
      <c r="C4" s="40"/>
      <c r="D4" s="40"/>
      <c r="E4" s="40"/>
      <c r="F4" s="40"/>
      <c r="G4" s="40"/>
      <c r="H4" s="40"/>
      <c r="I4" s="40"/>
      <c r="J4" s="40"/>
      <c r="K4" s="40"/>
      <c r="L4" s="40"/>
      <c r="M4" s="40"/>
      <c r="N4" s="40"/>
      <c r="O4" s="41" t="s">
        <v>103</v>
      </c>
    </row>
    <row r="5" spans="2:16" ht="15.6" customHeight="1" x14ac:dyDescent="0.25">
      <c r="B5" s="139" t="str">
        <f>IF($O$1="ENG","Indicator","Показник")</f>
        <v>Indicator</v>
      </c>
      <c r="C5" s="139" t="str">
        <f>IFERROR(I2,"")</f>
        <v/>
      </c>
      <c r="D5" s="139"/>
      <c r="E5" s="139"/>
      <c r="F5" s="139"/>
      <c r="G5" s="139" t="str">
        <f>IF($O$1="ENG","All banks under stress test","Усі банки, що проходили стрес-тестування")</f>
        <v>All banks under stress test</v>
      </c>
      <c r="H5" s="139"/>
      <c r="I5" s="139"/>
      <c r="J5" s="139"/>
      <c r="K5" s="139" t="str">
        <f>IFERROR(VLOOKUP(I2,'Data table'!$C$10:$D$33,2,0),"")</f>
        <v/>
      </c>
      <c r="L5" s="139"/>
      <c r="M5" s="139"/>
      <c r="N5" s="139"/>
      <c r="O5" s="137" t="str">
        <f>'Individual banks'!B11</f>
        <v>Required level of core capital ratio</v>
      </c>
    </row>
    <row r="6" spans="2:16" ht="39.6" x14ac:dyDescent="0.25">
      <c r="B6" s="144"/>
      <c r="C6" s="118" t="str">
        <f>'Data table'!E6</f>
        <v>Core capital, UAH mln</v>
      </c>
      <c r="D6" s="118" t="str">
        <f>'Data table'!F6</f>
        <v>Regulatory capital, UAH mln</v>
      </c>
      <c r="E6" s="118" t="str">
        <f>'Data table'!G6</f>
        <v>CAR</v>
      </c>
      <c r="F6" s="118" t="str">
        <f>'Data table'!H6</f>
        <v>Core capital ratio</v>
      </c>
      <c r="G6" s="118" t="str">
        <f>C6</f>
        <v>Core capital, UAH mln</v>
      </c>
      <c r="H6" s="118" t="str">
        <f t="shared" ref="H6:J6" si="0">D6</f>
        <v>Regulatory capital, UAH mln</v>
      </c>
      <c r="I6" s="118" t="str">
        <f t="shared" si="0"/>
        <v>CAR</v>
      </c>
      <c r="J6" s="118" t="str">
        <f t="shared" si="0"/>
        <v>Core capital ratio</v>
      </c>
      <c r="K6" s="118" t="str">
        <f>G6</f>
        <v>Core capital, UAH mln</v>
      </c>
      <c r="L6" s="118" t="str">
        <f t="shared" ref="L6" si="1">H6</f>
        <v>Regulatory capital, UAH mln</v>
      </c>
      <c r="M6" s="118" t="str">
        <f t="shared" ref="M6" si="2">I6</f>
        <v>CAR</v>
      </c>
      <c r="N6" s="118" t="str">
        <f t="shared" ref="N6" si="3">J6</f>
        <v>Core capital ratio</v>
      </c>
      <c r="O6" s="138"/>
    </row>
    <row r="7" spans="2:16" x14ac:dyDescent="0.25">
      <c r="B7" s="58" t="str">
        <f>'Individual banks'!C4</f>
        <v>Bank's data as of 01.01.18</v>
      </c>
      <c r="C7" s="126" t="str">
        <f>IFERROR(INDEX('Data table'!$E$10:$AX$33,MATCH('Comparison with group'!$I$2,'Data table'!$C$10:$C$33,0),MATCH('Comparison with group'!C$6,'Data table'!$E$6:$I$6,0)),"")</f>
        <v/>
      </c>
      <c r="D7" s="126" t="str">
        <f>IFERROR(INDEX('Data table'!$E$10:$AX$33,MATCH('Comparison with group'!$I$2,'Data table'!$C$10:$C$33,0),MATCH('Comparison with group'!D$6,'Data table'!$E$6:$I$6,0)),"")</f>
        <v/>
      </c>
      <c r="E7" s="44" t="str">
        <f>IFERROR(INDEX('Data table'!$E$10:$AX$33,MATCH('Comparison with group'!$I$2,'Data table'!$C$10:$C$33,0),MATCH('Comparison with group'!E$6,'Data table'!$E$6:$I$6,0)),"")</f>
        <v/>
      </c>
      <c r="F7" s="44" t="str">
        <f>IFERROR(INDEX('Data table'!$E$10:$AX$33,MATCH('Comparison with group'!$I$2,'Data table'!$C$10:$C$33,0),MATCH('Comparison with group'!F$6,'Data table'!$E$6:$I$6,0)),"")</f>
        <v/>
      </c>
      <c r="G7" s="126">
        <f>SUM('Data table'!E$10:E$33)</f>
        <v>75474.935999999987</v>
      </c>
      <c r="H7" s="126">
        <f>SUM('Data table'!F$10:F$33)</f>
        <v>98836.434000000008</v>
      </c>
      <c r="I7" s="44">
        <f>H7/SUM('Data table'!$I$10:$I$33)</f>
        <v>0.15537861382024781</v>
      </c>
      <c r="J7" s="44">
        <f>G7/SUM('Data table'!$I$10:$I$33)</f>
        <v>0.11865250959835233</v>
      </c>
      <c r="K7" s="126" t="str">
        <f>IF(K5="","",SUMIFS('Data table'!E$10:E$33,'Data table'!$D$10:$D$33,'Comparison with group'!$K$5:$N$5))</f>
        <v/>
      </c>
      <c r="L7" s="126" t="str">
        <f>IF(K5="","",SUMIFS('Data table'!F$10:F$33,'Data table'!$D$10:$D$33,$K$5))</f>
        <v/>
      </c>
      <c r="M7" s="44" t="str">
        <f>IFERROR(L7/SUMIFS('Data table'!$I$10:$I$33,'Data table'!$D$10:$D$33,$K$5),"")</f>
        <v/>
      </c>
      <c r="N7" s="44" t="str">
        <f>IFERROR(K7/SUMIFS('Data table'!$I$10:$I$33,'Data table'!$D$10:$D$33,$K$5),"")</f>
        <v/>
      </c>
      <c r="O7" s="125">
        <v>7.0000000000000007E-2</v>
      </c>
    </row>
    <row r="8" spans="2:16" x14ac:dyDescent="0.25">
      <c r="B8" s="51" t="str">
        <f>'Individual banks'!D4</f>
        <v>AQR as of 01.01.18</v>
      </c>
      <c r="C8" s="45" t="str">
        <f ca="1">IFERROR(OFFSET(INDEX('Data table'!$E$10:$AX$33,MATCH('Comparison with group'!$I$2,'Data table'!$C$10:$C$33,0),MATCH('Comparison with group'!C$6,'Data table'!$J$6:$O$6,0)),0,5),"")</f>
        <v/>
      </c>
      <c r="D8" s="45" t="str">
        <f ca="1">IFERROR(OFFSET(INDEX('Data table'!$E$10:$AX$33,MATCH('Comparison with group'!$I$2,'Data table'!$C$10:$C$33,0),MATCH('Comparison with group'!D$6,'Data table'!$J$6:$O$6,0)),0,5),"")</f>
        <v/>
      </c>
      <c r="E8" s="42" t="str">
        <f ca="1">IFERROR(OFFSET(INDEX('Data table'!$E$10:$AX$33,MATCH('Comparison with group'!$I$2,'Data table'!$C$10:$C$33,0),MATCH('Comparison with group'!E$6,'Data table'!$J$6:$O$6,0)),0,5),"")</f>
        <v/>
      </c>
      <c r="F8" s="42" t="str">
        <f ca="1">IFERROR(OFFSET(INDEX('Data table'!$E$10:$AX$33,MATCH('Comparison with group'!$I$2,'Data table'!$C$10:$C$33,0),MATCH('Comparison with group'!F$6,'Data table'!$J$6:$O$6,0)),0,5),"")</f>
        <v/>
      </c>
      <c r="G8" s="45">
        <f>SUM('Data table'!K$10:K$33)</f>
        <v>69230.580999999991</v>
      </c>
      <c r="H8" s="45">
        <f>SUM('Data table'!L$10:L$33)</f>
        <v>91284.66399999999</v>
      </c>
      <c r="I8" s="42">
        <f>H8/SUM('Data table'!$O$10:$O$33)</f>
        <v>0.14371014511528518</v>
      </c>
      <c r="J8" s="42">
        <f>G8/SUM('Data table'!$O$10:$O$33)</f>
        <v>0.10899023347366985</v>
      </c>
      <c r="K8" s="45" t="str">
        <f>IF(K5="","",SUMIFS('Data table'!K$10:K$33,'Data table'!$D$10:$D$33,'Comparison with group'!$K$5:$N$5))</f>
        <v/>
      </c>
      <c r="L8" s="45" t="str">
        <f>IF(K5="","",SUMIFS('Data table'!L$10:L$33,'Data table'!$D$10:$D$33,$K$5))</f>
        <v/>
      </c>
      <c r="M8" s="42" t="str">
        <f>IFERROR(L8/SUMIFS('Data table'!$O$10:$O$33,'Data table'!$D$10:$D$33,$K$5),"")</f>
        <v/>
      </c>
      <c r="N8" s="42" t="str">
        <f>IFERROR(K8/SUMIFS('Data table'!$O$10:$O$33,'Data table'!$D$10:$D$33,$K$5),"")</f>
        <v/>
      </c>
      <c r="O8" s="116">
        <v>7.0000000000000007E-2</v>
      </c>
    </row>
    <row r="9" spans="2:16" ht="13.2" customHeight="1" x14ac:dyDescent="0.25">
      <c r="B9" s="115" t="str">
        <f>IF($O$1="ENG","Forecast year","Прогнозний рік")</f>
        <v>Forecast year</v>
      </c>
      <c r="C9" s="140" t="str">
        <f>IF($O$1="ENG","Baseline scenario","За базовим макроекономічним сценарієм")</f>
        <v>Baseline scenario</v>
      </c>
      <c r="D9" s="141"/>
      <c r="E9" s="141"/>
      <c r="F9" s="141"/>
      <c r="G9" s="141"/>
      <c r="H9" s="141"/>
      <c r="I9" s="141"/>
      <c r="J9" s="141"/>
      <c r="K9" s="141"/>
      <c r="L9" s="141"/>
      <c r="M9" s="141"/>
      <c r="N9" s="141"/>
      <c r="O9" s="142"/>
    </row>
    <row r="10" spans="2:16" x14ac:dyDescent="0.25">
      <c r="B10" s="69" t="str">
        <f>'Data table'!P7</f>
        <v>1st</v>
      </c>
      <c r="C10" s="45" t="str">
        <f ca="1">IFERROR(OFFSET(INDEX('Data table'!$E$10:$AX$33,MATCH('Comparison with group'!$I$2,'Data table'!$C$10:$C$33,0),MATCH($B10,'Data table'!$P$7:$R$7,0)),0,11),"")</f>
        <v/>
      </c>
      <c r="D10" s="45" t="str">
        <f ca="1">IFERROR(OFFSET(INDEX('Data table'!$E$10:$AX$33,MATCH('Comparison with group'!$I$2,'Data table'!$C$10:$C$33,0),MATCH($B10,'Data table'!$P$7:$R$7,0)),0,14),"")</f>
        <v/>
      </c>
      <c r="E10" s="42" t="str">
        <f ca="1">IFERROR(OFFSET(INDEX('Data table'!$E$10:$AX$33,MATCH('Comparison with group'!$I$2,'Data table'!$C$10:$C$33,0),MATCH($B10,'Data table'!$P$7:$R$7,0)),0,17),"")</f>
        <v/>
      </c>
      <c r="F10" s="42" t="str">
        <f ca="1">IFERROR(OFFSET(INDEX('Data table'!$E$10:$AX$33,MATCH('Comparison with group'!$I$2,'Data table'!$C$10:$C$33,0),MATCH($B10,'Data table'!$P$7:$R$7,0)),0,20),"")</f>
        <v/>
      </c>
      <c r="G10" s="45">
        <f>SUM('Data table'!P$10:P$33)</f>
        <v>84466.950000000012</v>
      </c>
      <c r="H10" s="45">
        <f>SUM('Data table'!S$10:S$33)</f>
        <v>106885.90999999999</v>
      </c>
      <c r="I10" s="42">
        <f>H10/SUM('Data table'!$AB$10:$AB$33)</f>
        <v>0.1782341545431764</v>
      </c>
      <c r="J10" s="42">
        <f>G10/SUM('Data table'!$AB$10:$AB$33)</f>
        <v>0.14085014030465529</v>
      </c>
      <c r="K10" s="45" t="str">
        <f>IF($K$5="","",SUMIFS('Data table'!P$10:P$33,'Data table'!$D$10:$D$33,'Comparison with group'!$K$5:$N$5))</f>
        <v/>
      </c>
      <c r="L10" s="45" t="str">
        <f>IF(K5="","",SUMIFS('Data table'!S$10:S$33,'Data table'!$D$10:$D$33,$K$5))</f>
        <v/>
      </c>
      <c r="M10" s="42" t="str">
        <f>IFERROR(L10/SUMIFS('Data table'!$AB$10:$AB$33,'Data table'!$D$10:$D$33,$K$5),"")</f>
        <v/>
      </c>
      <c r="N10" s="42" t="str">
        <f>IFERROR(K10/SUMIFS('Data table'!$AB$10:$AB$33,'Data table'!$D$10:$D$33,$K$5),"")</f>
        <v/>
      </c>
      <c r="O10" s="116">
        <v>7.0000000000000007E-2</v>
      </c>
    </row>
    <row r="11" spans="2:16" x14ac:dyDescent="0.25">
      <c r="B11" s="70" t="str">
        <f>'Data table'!Q7</f>
        <v>2nd</v>
      </c>
      <c r="C11" s="45" t="str">
        <f ca="1">IFERROR(OFFSET(INDEX('Data table'!$E$10:$AX$33,MATCH('Comparison with group'!$I$2,'Data table'!$C$10:$C$33,0),MATCH($B11,'Data table'!$P$7:$R$7,0)),0,11),"")</f>
        <v/>
      </c>
      <c r="D11" s="45" t="str">
        <f ca="1">IFERROR(OFFSET(INDEX('Data table'!$E$10:$AX$33,MATCH('Comparison with group'!$I$2,'Data table'!$C$10:$C$33,0),MATCH($B11,'Data table'!$P$7:$R$7,0)),0,14),"")</f>
        <v/>
      </c>
      <c r="E11" s="42" t="str">
        <f ca="1">IFERROR(OFFSET(INDEX('Data table'!$E$10:$AX$33,MATCH('Comparison with group'!$I$2,'Data table'!$C$10:$C$33,0),MATCH($B11,'Data table'!$P$7:$R$7,0)),0,17),"")</f>
        <v/>
      </c>
      <c r="F11" s="42" t="str">
        <f ca="1">IFERROR(OFFSET(INDEX('Data table'!$E$10:$AX$33,MATCH('Comparison with group'!$I$2,'Data table'!$C$10:$C$33,0),MATCH($B11,'Data table'!$P$7:$R$7,0)),0,20),"")</f>
        <v/>
      </c>
      <c r="G11" s="45">
        <f>SUM('Data table'!Q$10:Q$33)</f>
        <v>112632.31000000001</v>
      </c>
      <c r="H11" s="45">
        <f>SUM('Data table'!T$10:T$33)</f>
        <v>133578.69799999997</v>
      </c>
      <c r="I11" s="42">
        <f>H11/SUM('Data table'!$AC$10:$AC$33)</f>
        <v>0.22362713586169439</v>
      </c>
      <c r="J11" s="42">
        <f>G11/SUM('Data table'!$AC$10:$AC$33)</f>
        <v>0.18856031139625637</v>
      </c>
      <c r="K11" s="45" t="str">
        <f>IF($K$5="","",SUMIFS('Data table'!Q$10:Q$33,'Data table'!$D$10:$D$33,'Comparison with group'!$K$5:$N$5))</f>
        <v/>
      </c>
      <c r="L11" s="45" t="str">
        <f>IF(K5="","",SUMIFS('Data table'!T$10:T$33,'Data table'!$D$10:$D$33,$K$5))</f>
        <v/>
      </c>
      <c r="M11" s="42" t="str">
        <f>IFERROR(L11/SUMIFS('Data table'!$AC$10:$AC$33,'Data table'!$D$10:$D$33,$K$5),"")</f>
        <v/>
      </c>
      <c r="N11" s="42" t="str">
        <f>IFERROR(K11/SUMIFS('Data table'!$AC$10:$AC$33,'Data table'!$D$10:$D$33,$K$5),"")</f>
        <v/>
      </c>
      <c r="O11" s="116">
        <v>7.0000000000000007E-2</v>
      </c>
    </row>
    <row r="12" spans="2:16" x14ac:dyDescent="0.25">
      <c r="B12" s="66" t="str">
        <f>'Data table'!R7</f>
        <v>3rd</v>
      </c>
      <c r="C12" s="45" t="str">
        <f ca="1">IFERROR(OFFSET(INDEX('Data table'!$E$10:$AX$33,MATCH('Comparison with group'!$I$2,'Data table'!$C$10:$C$33,0),MATCH($B12,'Data table'!$P$7:$R$7,0)),0,11),"")</f>
        <v/>
      </c>
      <c r="D12" s="45" t="str">
        <f ca="1">IFERROR(OFFSET(INDEX('Data table'!$E$10:$AX$33,MATCH('Comparison with group'!$I$2,'Data table'!$C$10:$C$33,0),MATCH($B12,'Data table'!$P$7:$R$7,0)),0,14),"")</f>
        <v/>
      </c>
      <c r="E12" s="42" t="str">
        <f ca="1">IFERROR(OFFSET(INDEX('Data table'!$E$10:$AX$33,MATCH('Comparison with group'!$I$2,'Data table'!$C$10:$C$33,0),MATCH($B12,'Data table'!$P$7:$R$7,0)),0,17),"")</f>
        <v/>
      </c>
      <c r="F12" s="42" t="str">
        <f ca="1">IFERROR(OFFSET(INDEX('Data table'!$E$10:$AX$33,MATCH('Comparison with group'!$I$2,'Data table'!$C$10:$C$33,0),MATCH($B12,'Data table'!$P$7:$R$7,0)),0,20),"")</f>
        <v/>
      </c>
      <c r="G12" s="45">
        <f>SUM('Data table'!R$10:R$33)</f>
        <v>148540.16099999999</v>
      </c>
      <c r="H12" s="45">
        <f>SUM('Data table'!U$10:U$33)</f>
        <v>167533.27700000003</v>
      </c>
      <c r="I12" s="42">
        <f>H12/SUM('Data table'!$AD$10:$AD$33)</f>
        <v>0.27873459439309611</v>
      </c>
      <c r="J12" s="42">
        <f>G12/SUM('Data table'!$AD$10:$AD$33)</f>
        <v>0.24713467239956266</v>
      </c>
      <c r="K12" s="45" t="str">
        <f>IF($K$5="","",SUMIFS('Data table'!R$10:R$33,'Data table'!$D$10:$D$33,'Comparison with group'!$K$5:$N$5))</f>
        <v/>
      </c>
      <c r="L12" s="45" t="str">
        <f>IF(K5="","",SUMIFS('Data table'!U$10:U$33,'Data table'!$D$10:$D$33,$K$5))</f>
        <v/>
      </c>
      <c r="M12" s="42" t="str">
        <f>IFERROR(L12/SUMIFS('Data table'!$AD$10:$AD$33,'Data table'!$D$10:$D$33,$K$5),"")</f>
        <v/>
      </c>
      <c r="N12" s="42" t="str">
        <f>IFERROR(K12/SUMIFS('Data table'!$AD$10:$AD$33,'Data table'!$D$10:$D$33,$K$5),"")</f>
        <v/>
      </c>
      <c r="O12" s="116">
        <v>7.0000000000000007E-2</v>
      </c>
    </row>
    <row r="13" spans="2:16" ht="13.2" customHeight="1" x14ac:dyDescent="0.25">
      <c r="B13" s="115" t="str">
        <f>IF($O$1="ENG","Forecast year","Прогнозний рік")</f>
        <v>Forecast year</v>
      </c>
      <c r="C13" s="140" t="str">
        <f>IF($O$1="ENG","Adverse scenario","За несприятливим макроекономічним сценарієм")</f>
        <v>Adverse scenario</v>
      </c>
      <c r="D13" s="141"/>
      <c r="E13" s="141"/>
      <c r="F13" s="141"/>
      <c r="G13" s="141"/>
      <c r="H13" s="141"/>
      <c r="I13" s="141"/>
      <c r="J13" s="141"/>
      <c r="K13" s="141"/>
      <c r="L13" s="141"/>
      <c r="M13" s="141"/>
      <c r="N13" s="141"/>
      <c r="O13" s="142"/>
    </row>
    <row r="14" spans="2:16" ht="14.4" customHeight="1" x14ac:dyDescent="0.25">
      <c r="B14" s="66" t="str">
        <f>B10</f>
        <v>1st</v>
      </c>
      <c r="C14" s="45" t="str">
        <f ca="1">IFERROR(OFFSET(INDEX('Data table'!$E$10:$AX$33,MATCH('Comparison with group'!$I$2,'Data table'!$C$10:$C$33,0),MATCH($B14,'Data table'!$P$7:$R$7,0)),0,26),"")</f>
        <v/>
      </c>
      <c r="D14" s="45" t="str">
        <f ca="1">IFERROR(OFFSET(INDEX('Data table'!$E$10:$AX$33,MATCH('Comparison with group'!$I$2,'Data table'!$C$10:$C$33,0),MATCH($B14,'Data table'!$P$7:$R$7,0)),0,29),"")</f>
        <v/>
      </c>
      <c r="E14" s="42" t="str">
        <f ca="1">IFERROR(OFFSET(INDEX('Data table'!$E$10:$AX$33,MATCH('Comparison with group'!$I$2,'Data table'!$C$10:$C$33,0),MATCH($B14,'Data table'!$P$7:$R$7,0)),0,32),"")</f>
        <v/>
      </c>
      <c r="F14" s="42" t="str">
        <f ca="1">IFERROR(OFFSET(INDEX('Data table'!$E$10:$AX$33,MATCH('Comparison with group'!$I$2,'Data table'!$C$10:$C$33,0),MATCH($B14,'Data table'!$P$7:$R$7,0)),0,35),"")</f>
        <v/>
      </c>
      <c r="G14" s="45">
        <f>SUM('Data table'!AE$10:AE$33)</f>
        <v>21747.757000000001</v>
      </c>
      <c r="H14" s="45">
        <f>SUM('Data table'!AH$10:AH$33)</f>
        <v>30954.791000000001</v>
      </c>
      <c r="I14" s="42">
        <f>H14/SUM('Data table'!$AQ$10:$AQ$33)</f>
        <v>5.2789129217841492E-2</v>
      </c>
      <c r="J14" s="42">
        <f>G14/SUM('Data table'!$AQ$10:$AQ$33)</f>
        <v>3.7087801835625926E-2</v>
      </c>
      <c r="K14" s="45" t="str">
        <f>IF(K5="","",SUMIFS('Data table'!AE$10:AE$33,'Data table'!$D$10:$D$33,'Comparison with group'!$K$5:$N$5))</f>
        <v/>
      </c>
      <c r="L14" s="45" t="str">
        <f>IF(K5="","",SUMIFS('Data table'!AH$10:AH$33,'Data table'!$D$10:$D$33,$K$5))</f>
        <v/>
      </c>
      <c r="M14" s="42" t="str">
        <f>IFERROR(L14/SUMIFS('Data table'!$AQ$10:$AQ$33,'Data table'!$D$10:$D$33,$K$5),"")</f>
        <v/>
      </c>
      <c r="N14" s="42" t="str">
        <f>IFERROR(K14/SUMIFS('Data table'!$AQ$10:$AQ$33,'Data table'!$D$10:$D$33,$K$5),"")</f>
        <v/>
      </c>
      <c r="O14" s="42">
        <f>O10/2</f>
        <v>3.5000000000000003E-2</v>
      </c>
    </row>
    <row r="15" spans="2:16" x14ac:dyDescent="0.25">
      <c r="B15" s="66" t="str">
        <f t="shared" ref="B15:B16" si="4">B11</f>
        <v>2nd</v>
      </c>
      <c r="C15" s="45" t="str">
        <f ca="1">IFERROR(OFFSET(INDEX('Data table'!$E$10:$AX$33,MATCH('Comparison with group'!$I$2,'Data table'!$C$10:$C$33,0),MATCH($B15,'Data table'!$P$7:$R$7,0)),0,26),"")</f>
        <v/>
      </c>
      <c r="D15" s="45" t="str">
        <f ca="1">IFERROR(OFFSET(INDEX('Data table'!$E$10:$AX$33,MATCH('Comparison with group'!$I$2,'Data table'!$C$10:$C$33,0),MATCH($B15,'Data table'!$P$7:$R$7,0)),0,29),"")</f>
        <v/>
      </c>
      <c r="E15" s="42" t="str">
        <f ca="1">IFERROR(OFFSET(INDEX('Data table'!$E$10:$AX$33,MATCH('Comparison with group'!$I$2,'Data table'!$C$10:$C$33,0),MATCH($B15,'Data table'!$P$7:$R$7,0)),0,32),"")</f>
        <v/>
      </c>
      <c r="F15" s="42" t="str">
        <f ca="1">IFERROR(OFFSET(INDEX('Data table'!$E$10:$AX$33,MATCH('Comparison with group'!$I$2,'Data table'!$C$10:$C$33,0),MATCH($B15,'Data table'!$P$7:$R$7,0)),0,35),"")</f>
        <v/>
      </c>
      <c r="G15" s="45">
        <f>SUM('Data table'!AF$10:AF$33)</f>
        <v>17974.273000000001</v>
      </c>
      <c r="H15" s="45">
        <f>SUM('Data table'!AI$10:AI$33)</f>
        <v>24181.491999999998</v>
      </c>
      <c r="I15" s="42">
        <f>H15/SUM('Data table'!$AR$10:$AR$33)</f>
        <v>4.1969742712957676E-2</v>
      </c>
      <c r="J15" s="42">
        <f>G15/SUM('Data table'!$AR$10:$AR$33)</f>
        <v>3.1196404806720032E-2</v>
      </c>
      <c r="K15" s="45" t="str">
        <f>IF(K5="","",SUMIFS('Data table'!AF$10:AF$33,'Data table'!$D$10:$D$33,'Comparison with group'!$K$5:$N$5))</f>
        <v/>
      </c>
      <c r="L15" s="45" t="str">
        <f>IF(K5="","",SUMIFS('Data table'!AI$10:AI$33,'Data table'!$D$10:$D$33,$K$5))</f>
        <v/>
      </c>
      <c r="M15" s="42" t="str">
        <f>IFERROR(L15/SUMIFS('Data table'!$AR$10:$AR$33,'Data table'!$D$10:$D$33,$K$5),"")</f>
        <v/>
      </c>
      <c r="N15" s="42" t="str">
        <f>IFERROR(K15/SUMIFS('Data table'!$AR$10:$AR$33,'Data table'!$D$10:$D$33,$K$5),"")</f>
        <v/>
      </c>
      <c r="O15" s="42">
        <f>O11/2</f>
        <v>3.5000000000000003E-2</v>
      </c>
    </row>
    <row r="16" spans="2:16" x14ac:dyDescent="0.25">
      <c r="B16" s="66" t="str">
        <f t="shared" si="4"/>
        <v>3rd</v>
      </c>
      <c r="C16" s="45" t="str">
        <f ca="1">IFERROR(OFFSET(INDEX('Data table'!$E$10:$AX$33,MATCH('Comparison with group'!$I$2,'Data table'!$C$10:$C$33,0),MATCH($B16,'Data table'!$P$7:$R$7,0)),0,26),"")</f>
        <v/>
      </c>
      <c r="D16" s="45" t="str">
        <f ca="1">IFERROR(OFFSET(INDEX('Data table'!$E$10:$AX$33,MATCH('Comparison with group'!$I$2,'Data table'!$C$10:$C$33,0),MATCH($B16,'Data table'!$P$7:$R$7,0)),0,29),"")</f>
        <v/>
      </c>
      <c r="E16" s="42" t="str">
        <f ca="1">IFERROR(OFFSET(INDEX('Data table'!$E$10:$AX$33,MATCH('Comparison with group'!$I$2,'Data table'!$C$10:$C$33,0),MATCH($B16,'Data table'!$P$7:$R$7,0)),0,32),"")</f>
        <v/>
      </c>
      <c r="F16" s="42" t="str">
        <f ca="1">IFERROR(OFFSET(INDEX('Data table'!$E$10:$AX$33,MATCH('Comparison with group'!$I$2,'Data table'!$C$10:$C$33,0),MATCH($B16,'Data table'!$P$7:$R$7,0)),0,35),"")</f>
        <v/>
      </c>
      <c r="G16" s="45">
        <f>SUM('Data table'!AG$10:AG$33)</f>
        <v>38844.751000000004</v>
      </c>
      <c r="H16" s="45">
        <f>SUM('Data table'!AJ$10:AJ$33)</f>
        <v>50119.553</v>
      </c>
      <c r="I16" s="42">
        <f>H16/SUM('Data table'!$AS$10:$AS$33)</f>
        <v>8.661495351146313E-2</v>
      </c>
      <c r="J16" s="42">
        <f>G16/SUM('Data table'!$AS$10:$AS$33)</f>
        <v>6.7130213671884931E-2</v>
      </c>
      <c r="K16" s="45" t="str">
        <f>IF(K5="","",SUMIFS('Data table'!AG$10:AG$33,'Data table'!$D$10:$D$33,'Comparison with group'!$K$5:$N$5))</f>
        <v/>
      </c>
      <c r="L16" s="45" t="str">
        <f>IF(K5="","",SUMIFS('Data table'!AJ$10:AJ$33,'Data table'!$D$10:$D$33,$K$5))</f>
        <v/>
      </c>
      <c r="M16" s="42" t="str">
        <f>IFERROR(L16/SUMIFS('Data table'!$AS$10:$AS$33,'Data table'!$D$10:$D$33,$K$5),"")</f>
        <v/>
      </c>
      <c r="N16" s="42" t="str">
        <f>IFERROR(K16/SUMIFS('Data table'!$AS$10:$AS$33,'Data table'!$D$10:$D$33,$K$5),"")</f>
        <v/>
      </c>
      <c r="O16" s="42">
        <f>O12/2</f>
        <v>3.5000000000000003E-2</v>
      </c>
    </row>
    <row r="17" spans="2:11" ht="10.199999999999999" customHeight="1" x14ac:dyDescent="0.25">
      <c r="B17" s="124" t="str">
        <f>IF($O$1="ENG","AQR - asset quality review","AQR - дані за результатами оцінки якості активів та прийнятності забезпечення за кредитними операціями банку з урахуванням коригувань фінансової звітності банку за звітний рік та екстраполяції")</f>
        <v>AQR - asset quality review</v>
      </c>
    </row>
    <row r="18" spans="2:11" ht="9.6" customHeight="1" x14ac:dyDescent="0.25">
      <c r="B18" s="124" t="str">
        <f>IF($O$1="ENG","","ОК - основний капітал, РК - регулятивний капітал, Н2 - норматив адекватності регулятивного капіталу, Н3 - норматив адекватності основного капіталу.")</f>
        <v/>
      </c>
    </row>
    <row r="20" spans="2:11" ht="13.2" customHeight="1" x14ac:dyDescent="0.25">
      <c r="C20" s="143" t="str">
        <f>IF($O$1="ENG","Core capital ratio under baseline scenario","Норматив достатності основного капіталу Н3 за базовим сценарієм")</f>
        <v>Core capital ratio under baseline scenario</v>
      </c>
      <c r="D20" s="143"/>
      <c r="E20" s="143"/>
      <c r="F20" s="143"/>
      <c r="H20" s="143" t="str">
        <f>IF($O$1="ENG","Core capital ratio under adverse scenario","Норматив достатності основного капіталу Н3 за несприятливим сценарієм")</f>
        <v>Core capital ratio under adverse scenario</v>
      </c>
      <c r="I20" s="143"/>
      <c r="J20" s="143"/>
      <c r="K20" s="143"/>
    </row>
    <row r="21" spans="2:11" x14ac:dyDescent="0.25">
      <c r="C21" s="143"/>
      <c r="D21" s="143"/>
      <c r="E21" s="143"/>
      <c r="F21" s="143"/>
      <c r="H21" s="143"/>
      <c r="I21" s="143"/>
      <c r="J21" s="143"/>
      <c r="K21" s="143"/>
    </row>
    <row r="38" spans="2:2" x14ac:dyDescent="0.25">
      <c r="B38" s="127" t="str">
        <f>IF($O$1="ENG","Required level of core capital ratio under baseline scenario","Граничне значення Н3 за базового сценарію")</f>
        <v>Required level of core capital ratio under baseline scenario</v>
      </c>
    </row>
    <row r="39" spans="2:2" x14ac:dyDescent="0.25">
      <c r="B39" s="127" t="str">
        <f>IF($O$1="ENG","Required level of core capital ratio under adverse scenario","Граничне значення Н3 за несприятливого сценарію")</f>
        <v>Required level of core capital ratio under adverse scenario</v>
      </c>
    </row>
  </sheetData>
  <mergeCells count="9">
    <mergeCell ref="C13:O13"/>
    <mergeCell ref="O5:O6"/>
    <mergeCell ref="C20:F21"/>
    <mergeCell ref="H20:K21"/>
    <mergeCell ref="B5:B6"/>
    <mergeCell ref="C5:F5"/>
    <mergeCell ref="K5:N5"/>
    <mergeCell ref="G5:J5"/>
    <mergeCell ref="C9:O9"/>
  </mergeCells>
  <conditionalFormatting sqref="I2">
    <cfRule type="containsBlanks" dxfId="0" priority="1">
      <formula>LEN(TRIM(I2))=0</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Drop Down 4">
              <controlPr defaultSize="0" autoLine="0" autoPict="0">
                <anchor moveWithCells="1">
                  <from>
                    <xdr:col>6</xdr:col>
                    <xdr:colOff>822960</xdr:colOff>
                    <xdr:row>0</xdr:row>
                    <xdr:rowOff>160020</xdr:rowOff>
                  </from>
                  <to>
                    <xdr:col>10</xdr:col>
                    <xdr:colOff>83820</xdr:colOff>
                    <xdr:row>2</xdr:row>
                    <xdr:rowOff>30480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20"/>
  <sheetViews>
    <sheetView zoomScale="70" zoomScaleNormal="70" workbookViewId="0">
      <selection activeCell="G7" sqref="G7"/>
    </sheetView>
  </sheetViews>
  <sheetFormatPr defaultColWidth="8.88671875" defaultRowHeight="13.2" x14ac:dyDescent="0.25"/>
  <cols>
    <col min="1" max="1" width="4" style="29" customWidth="1"/>
    <col min="2" max="2" width="22.44140625" style="29" customWidth="1"/>
    <col min="3" max="3" width="12" style="29" customWidth="1"/>
    <col min="4" max="4" width="12.88671875" style="29" customWidth="1"/>
    <col min="5" max="6" width="10.33203125" style="29" customWidth="1"/>
    <col min="7" max="7" width="12" style="29" customWidth="1"/>
    <col min="8" max="8" width="13.44140625" style="29" customWidth="1"/>
    <col min="9" max="10" width="10.33203125" style="29" customWidth="1"/>
    <col min="11" max="11" width="12.109375" style="29" customWidth="1"/>
    <col min="12" max="12" width="11.88671875" style="29" customWidth="1"/>
    <col min="13" max="14" width="10.33203125" style="29" customWidth="1"/>
    <col min="15" max="18" width="11.6640625" style="29" customWidth="1"/>
    <col min="19" max="19" width="8.88671875" style="29" customWidth="1"/>
    <col min="20" max="16384" width="8.88671875" style="29"/>
  </cols>
  <sheetData>
    <row r="1" spans="2:19" x14ac:dyDescent="0.25">
      <c r="R1" s="122" t="str">
        <f>'Individual banks'!J1</f>
        <v>ENG</v>
      </c>
      <c r="S1" s="129" t="s">
        <v>124</v>
      </c>
    </row>
    <row r="2" spans="2:19" x14ac:dyDescent="0.25">
      <c r="B2" s="33" t="str">
        <f>IF($R$1="ENG","Diagnostic study results (comparison across banks)","Результати оцінки стійкості банку (порівняння банків)")</f>
        <v>Diagnostic study results (comparison across banks)</v>
      </c>
    </row>
    <row r="3" spans="2:19" x14ac:dyDescent="0.25">
      <c r="B3" s="40"/>
      <c r="C3" s="40"/>
      <c r="D3" s="40"/>
      <c r="E3" s="40"/>
      <c r="F3" s="40"/>
      <c r="G3" s="40"/>
      <c r="H3" s="40"/>
      <c r="I3" s="40"/>
      <c r="J3" s="40"/>
      <c r="K3" s="40"/>
      <c r="L3" s="40"/>
      <c r="M3" s="40"/>
      <c r="N3" s="40"/>
      <c r="O3" s="40"/>
      <c r="P3" s="40"/>
      <c r="Q3" s="40"/>
      <c r="R3" s="41" t="s">
        <v>103</v>
      </c>
    </row>
    <row r="4" spans="2:19" ht="23.4" customHeight="1" x14ac:dyDescent="0.25">
      <c r="B4" s="139" t="str">
        <f>IF($R$1="ENG","Indicator","Показник")</f>
        <v>Indicator</v>
      </c>
      <c r="C4" s="96">
        <v>25</v>
      </c>
      <c r="D4" s="95" t="str">
        <f>IFERROR(INDEX('Data table'!$C$10:$C$33,C4,1),"")</f>
        <v/>
      </c>
      <c r="E4" s="95"/>
      <c r="F4" s="95"/>
      <c r="G4" s="96">
        <v>25</v>
      </c>
      <c r="H4" s="95" t="str">
        <f>IFERROR(INDEX('Data table'!$C$10:$C$33,G4,1),"")</f>
        <v/>
      </c>
      <c r="I4" s="95"/>
      <c r="J4" s="95"/>
      <c r="K4" s="96">
        <v>25</v>
      </c>
      <c r="L4" s="95" t="str">
        <f>IFERROR(INDEX('Data table'!$C$10:$C$33,K4,1),"")</f>
        <v/>
      </c>
      <c r="M4" s="95"/>
      <c r="N4" s="95"/>
      <c r="O4" s="96">
        <v>25</v>
      </c>
      <c r="P4" s="95" t="str">
        <f>IFERROR(INDEX('Data table'!$C$10:$C$33,O4,1),"")</f>
        <v/>
      </c>
      <c r="Q4" s="95"/>
      <c r="R4" s="95"/>
    </row>
    <row r="5" spans="2:19" ht="36.6" customHeight="1" x14ac:dyDescent="0.25">
      <c r="B5" s="144"/>
      <c r="C5" s="118" t="str">
        <f>'Data table'!E6</f>
        <v>Core capital, UAH mln</v>
      </c>
      <c r="D5" s="118" t="str">
        <f>'Data table'!F6</f>
        <v>Regulatory capital, UAH mln</v>
      </c>
      <c r="E5" s="118" t="str">
        <f>'Data table'!G6</f>
        <v>CAR</v>
      </c>
      <c r="F5" s="118" t="str">
        <f>'Data table'!H6</f>
        <v>Core capital ratio</v>
      </c>
      <c r="G5" s="118" t="str">
        <f>C5</f>
        <v>Core capital, UAH mln</v>
      </c>
      <c r="H5" s="118" t="str">
        <f t="shared" ref="H5:J5" si="0">D5</f>
        <v>Regulatory capital, UAH mln</v>
      </c>
      <c r="I5" s="118" t="str">
        <f t="shared" si="0"/>
        <v>CAR</v>
      </c>
      <c r="J5" s="118" t="str">
        <f t="shared" si="0"/>
        <v>Core capital ratio</v>
      </c>
      <c r="K5" s="118" t="str">
        <f>G5</f>
        <v>Core capital, UAH mln</v>
      </c>
      <c r="L5" s="118" t="str">
        <f t="shared" ref="L5:N5" si="1">H5</f>
        <v>Regulatory capital, UAH mln</v>
      </c>
      <c r="M5" s="118" t="str">
        <f t="shared" si="1"/>
        <v>CAR</v>
      </c>
      <c r="N5" s="118" t="str">
        <f t="shared" si="1"/>
        <v>Core capital ratio</v>
      </c>
      <c r="O5" s="118" t="str">
        <f>K5</f>
        <v>Core capital, UAH mln</v>
      </c>
      <c r="P5" s="118" t="str">
        <f t="shared" ref="P5:R5" si="2">L5</f>
        <v>Regulatory capital, UAH mln</v>
      </c>
      <c r="Q5" s="118" t="str">
        <f t="shared" si="2"/>
        <v>CAR</v>
      </c>
      <c r="R5" s="118" t="str">
        <f t="shared" si="2"/>
        <v>Core capital ratio</v>
      </c>
    </row>
    <row r="6" spans="2:19" x14ac:dyDescent="0.25">
      <c r="B6" s="58" t="str">
        <f>'Individual banks'!C4</f>
        <v>Bank's data as of 01.01.18</v>
      </c>
      <c r="C6" s="72" t="str">
        <f>IFERROR(INDEX('Data table'!$E$10:$AX$33,MATCH('Comparison of banks'!$D$4,'Data table'!$C$10:$C$33,0),MATCH('Comparison of banks'!C$5,'Data table'!$E$6:$I$6,0)),"")</f>
        <v/>
      </c>
      <c r="D6" s="72" t="str">
        <f>IFERROR(INDEX('Data table'!$E$10:$AX$33,MATCH('Comparison of banks'!$D$4,'Data table'!$C$10:$C$33,0),MATCH('Comparison of banks'!D$5,'Data table'!$E$6:$I$6,0)),"")</f>
        <v/>
      </c>
      <c r="E6" s="50" t="str">
        <f>IFERROR(INDEX('Data table'!$E$10:$AX$33,MATCH('Comparison of banks'!$D$4,'Data table'!$C$10:$C$33,0),MATCH('Comparison of banks'!E$5,'Data table'!$E$6:$I$6,0)),"")</f>
        <v/>
      </c>
      <c r="F6" s="50" t="str">
        <f>IFERROR(INDEX('Data table'!$E$10:$AX$33,MATCH('Comparison of banks'!$D$4,'Data table'!$C$10:$C$33,0),MATCH('Comparison of banks'!F$5,'Data table'!$E$6:$I$6,0)),"")</f>
        <v/>
      </c>
      <c r="G6" s="57" t="str">
        <f>IFERROR(INDEX('Data table'!$E$10:$AX$33,MATCH('Comparison of banks'!$H$4,'Data table'!$C$10:$C$33,0),MATCH('Comparison of banks'!G$5,'Data table'!$E$6:$I$6,0)),"")</f>
        <v/>
      </c>
      <c r="H6" s="57" t="str">
        <f>IFERROR(INDEX('Data table'!$E$10:$AX$33,MATCH('Comparison of banks'!$H$4,'Data table'!$C$10:$C$33,0),MATCH('Comparison of banks'!H$5,'Data table'!$E$6:$I$6,0)),"")</f>
        <v/>
      </c>
      <c r="I6" s="43" t="str">
        <f>IFERROR(INDEX('Data table'!$E$10:$AX$33,MATCH('Comparison of banks'!$H$4,'Data table'!$C$10:$C$33,0),MATCH('Comparison of banks'!I$5,'Data table'!$E$6:$I$6,0)),"")</f>
        <v/>
      </c>
      <c r="J6" s="43" t="str">
        <f>IFERROR(INDEX('Data table'!$E$10:$AX$33,MATCH('Comparison of banks'!$H$4,'Data table'!$C$10:$C$33,0),MATCH('Comparison of banks'!J$5,'Data table'!$E$6:$I$6,0)),"")</f>
        <v/>
      </c>
      <c r="K6" s="57" t="str">
        <f>IFERROR(INDEX('Data table'!$E$10:$AX$33,MATCH('Comparison of banks'!L$4,'Data table'!$C$10:$C$33,0),MATCH('Comparison of banks'!K$5,'Data table'!$E$6:$I$6,0)),"")</f>
        <v/>
      </c>
      <c r="L6" s="57" t="str">
        <f>IFERROR(INDEX('Data table'!$E$10:$AX$33,MATCH('Comparison of banks'!L$4,'Data table'!$C$10:$C$33,0),MATCH('Comparison of banks'!L$5,'Data table'!$E$6:$I$6,0)),"")</f>
        <v/>
      </c>
      <c r="M6" s="43" t="str">
        <f>IFERROR(INDEX('Data table'!$E$10:$AX$33,MATCH('Comparison of banks'!L$4,'Data table'!$C$10:$C$33,0),MATCH('Comparison of banks'!M$5,'Data table'!$E$6:$I$6,0)),"")</f>
        <v/>
      </c>
      <c r="N6" s="43" t="str">
        <f>IFERROR(INDEX('Data table'!$E$10:$AX$33,MATCH('Comparison of banks'!L$4,'Data table'!$C$10:$C$33,0),MATCH('Comparison of banks'!N$5,'Data table'!$E$6:$I$6,0)),"")</f>
        <v/>
      </c>
      <c r="O6" s="57" t="str">
        <f>IFERROR(INDEX('Data table'!$E$10:$AX$33,MATCH('Comparison of banks'!P$4,'Data table'!$C$10:$C$33,0),MATCH('Comparison of banks'!O$5,'Data table'!$E$6:$I$6,0)),"")</f>
        <v/>
      </c>
      <c r="P6" s="57" t="str">
        <f>IFERROR(INDEX('Data table'!$E$10:$AX$33,MATCH('Comparison of banks'!P$4,'Data table'!$C$10:$C$33,0),MATCH('Comparison of banks'!P$5,'Data table'!$E$6:$I$6,0)),"")</f>
        <v/>
      </c>
      <c r="Q6" s="43" t="str">
        <f>IFERROR(INDEX('Data table'!$E$10:$AX$33,MATCH('Comparison of banks'!P$4,'Data table'!$C$10:$C$33,0),MATCH('Comparison of banks'!Q$5,'Data table'!$E$6:$I$6,0)),"")</f>
        <v/>
      </c>
      <c r="R6" s="43" t="str">
        <f>IFERROR(INDEX('Data table'!$E$10:$AX$33,MATCH('Comparison of banks'!P$4,'Data table'!$C$10:$C$33,0),MATCH('Comparison of banks'!R$5,'Data table'!$E$6:$I$6,0)),"")</f>
        <v/>
      </c>
    </row>
    <row r="7" spans="2:19" x14ac:dyDescent="0.25">
      <c r="B7" s="52" t="str">
        <f>'Individual banks'!D4</f>
        <v>AQR as of 01.01.18</v>
      </c>
      <c r="C7" s="45" t="str">
        <f ca="1">IFERROR(OFFSET(INDEX('Data table'!$E$10:$AX$33,MATCH('Comparison of banks'!$D$4,'Data table'!$C$10:$C$33,0),MATCH('Comparison of banks'!C$5,'Data table'!$J$6:$O$6,0)),0,5),"")</f>
        <v/>
      </c>
      <c r="D7" s="45" t="str">
        <f ca="1">IFERROR(OFFSET(INDEX('Data table'!$E$10:$AX$33,MATCH('Comparison of banks'!$D$4,'Data table'!$C$10:$C$33,0),MATCH('Comparison of banks'!D$5,'Data table'!$J$6:$O$6,0)),0,5),"")</f>
        <v/>
      </c>
      <c r="E7" s="42" t="str">
        <f ca="1">IFERROR(OFFSET(INDEX('Data table'!$E$10:$AX$33,MATCH('Comparison of banks'!$D$4,'Data table'!$C$10:$C$33,0),MATCH('Comparison of banks'!E$5,'Data table'!$J$6:$O$6,0)),0,5),"")</f>
        <v/>
      </c>
      <c r="F7" s="42" t="str">
        <f ca="1">IFERROR(OFFSET(INDEX('Data table'!$E$10:$AX$33,MATCH('Comparison of banks'!$D$4,'Data table'!$C$10:$C$33,0),MATCH('Comparison of banks'!F$5,'Data table'!$J$6:$O$6,0)),0,5),"")</f>
        <v/>
      </c>
      <c r="G7" s="45" t="str">
        <f ca="1">IFERROR(OFFSET(INDEX('Data table'!$E$10:$AX$33,MATCH('Comparison of banks'!$H$4,'Data table'!$C$10:$C$33,0),MATCH('Comparison of banks'!G$5,'Data table'!$J$6:$O$6,0)),0,5),"")</f>
        <v/>
      </c>
      <c r="H7" s="45" t="str">
        <f ca="1">IFERROR(OFFSET(INDEX('Data table'!$E$10:$AX$33,MATCH('Comparison of banks'!$H$4,'Data table'!$C$10:$C$33,0),MATCH('Comparison of banks'!H$5,'Data table'!$J$6:$O$6,0)),0,5),"")</f>
        <v/>
      </c>
      <c r="I7" s="42" t="str">
        <f ca="1">IFERROR(OFFSET(INDEX('Data table'!$E$10:$AX$33,MATCH('Comparison of banks'!$H$4,'Data table'!$C$10:$C$33,0),MATCH('Comparison of banks'!I$5,'Data table'!$J$6:$O$6,0)),0,5),"")</f>
        <v/>
      </c>
      <c r="J7" s="42" t="str">
        <f ca="1">IFERROR(OFFSET(INDEX('Data table'!$E$10:$AX$33,MATCH('Comparison of banks'!$H$4,'Data table'!$C$10:$C$33,0),MATCH('Comparison of banks'!J$5,'Data table'!$J$6:$O$6,0)),0,5),"")</f>
        <v/>
      </c>
      <c r="K7" s="45" t="str">
        <f ca="1">IFERROR(OFFSET(INDEX('Data table'!$E$10:$AX$33,MATCH('Comparison of banks'!L$4,'Data table'!$C$10:$C$33,0),MATCH('Comparison of banks'!K$5,'Data table'!$J$6:$O$6,0)),0,5),"")</f>
        <v/>
      </c>
      <c r="L7" s="45" t="str">
        <f ca="1">IFERROR(OFFSET(INDEX('Data table'!$E$10:$AX$33,MATCH('Comparison of banks'!L$4,'Data table'!$C$10:$C$33,0),MATCH('Comparison of banks'!L$5,'Data table'!$J$6:$O$6,0)),0,5),"")</f>
        <v/>
      </c>
      <c r="M7" s="42" t="str">
        <f ca="1">IFERROR(OFFSET(INDEX('Data table'!$E$10:$AX$33,MATCH('Comparison of banks'!L$4,'Data table'!$C$10:$C$33,0),MATCH('Comparison of banks'!M$5,'Data table'!$J$6:$O$6,0)),0,5),"")</f>
        <v/>
      </c>
      <c r="N7" s="42" t="str">
        <f ca="1">IFERROR(OFFSET(INDEX('Data table'!$E$10:$AX$33,MATCH('Comparison of banks'!L$4,'Data table'!$C$10:$C$33,0),MATCH('Comparison of banks'!N$5,'Data table'!$J$6:$O$6,0)),0,5),"")</f>
        <v/>
      </c>
      <c r="O7" s="45" t="str">
        <f ca="1">IFERROR(OFFSET(INDEX('Data table'!$E$10:$AX$33,MATCH('Comparison of banks'!P$4,'Data table'!$C$10:$C$33,0),MATCH('Comparison of banks'!O$5,'Data table'!$J$6:$O$6,0)),0,5),"")</f>
        <v/>
      </c>
      <c r="P7" s="45" t="str">
        <f ca="1">IFERROR(OFFSET(INDEX('Data table'!$E$10:$AX$33,MATCH('Comparison of banks'!P$4,'Data table'!$C$10:$C$33,0),MATCH('Comparison of banks'!P$5,'Data table'!$J$6:$O$6,0)),0,5),"")</f>
        <v/>
      </c>
      <c r="Q7" s="42" t="str">
        <f ca="1">IFERROR(OFFSET(INDEX('Data table'!$E$10:$AX$33,MATCH('Comparison of banks'!P$4,'Data table'!$C$10:$C$33,0),MATCH('Comparison of banks'!Q$5,'Data table'!$J$6:$O$6,0)),0,5),"")</f>
        <v/>
      </c>
      <c r="R7" s="42" t="str">
        <f ca="1">IFERROR(OFFSET(INDEX('Data table'!$E$10:$AX$33,MATCH('Comparison of banks'!P$4,'Data table'!$C$10:$C$33,0),MATCH('Comparison of banks'!R$5,'Data table'!$J$6:$O$6,0)),0,5),"")</f>
        <v/>
      </c>
    </row>
    <row r="8" spans="2:19" ht="13.2" customHeight="1" x14ac:dyDescent="0.25">
      <c r="B8" s="99" t="str">
        <f>'Comparison with group'!B9</f>
        <v>Forecast year</v>
      </c>
      <c r="C8" s="140" t="str">
        <f>'Comparison with group'!C9:O9</f>
        <v>Baseline scenario</v>
      </c>
      <c r="D8" s="141"/>
      <c r="E8" s="141"/>
      <c r="F8" s="141"/>
      <c r="G8" s="141"/>
      <c r="H8" s="141"/>
      <c r="I8" s="141"/>
      <c r="J8" s="141"/>
      <c r="K8" s="141"/>
      <c r="L8" s="141"/>
      <c r="M8" s="141"/>
      <c r="N8" s="141"/>
      <c r="O8" s="141"/>
      <c r="P8" s="141"/>
      <c r="Q8" s="141"/>
      <c r="R8" s="142"/>
    </row>
    <row r="9" spans="2:19" x14ac:dyDescent="0.25">
      <c r="B9" s="89" t="str">
        <f>'Data table'!P7</f>
        <v>1st</v>
      </c>
      <c r="C9" s="45" t="str">
        <f ca="1">IFERROR(OFFSET(INDEX('Data table'!$E$10:$AX$33,MATCH('Comparison of banks'!$D$4,'Data table'!$C$10:$C$33,0),MATCH($B9,'Data table'!$P$7:$R$7,0)),0,11),"")</f>
        <v/>
      </c>
      <c r="D9" s="45" t="str">
        <f ca="1">IFERROR(OFFSET(INDEX('Data table'!$E$10:$AX$33,MATCH('Comparison of banks'!$D$4,'Data table'!$C$10:$C$33,0),MATCH($B9,'Data table'!$P$7:$R$7,0)),0,14),"")</f>
        <v/>
      </c>
      <c r="E9" s="42" t="str">
        <f ca="1">IFERROR(OFFSET(INDEX('Data table'!$E$10:$AX$33,MATCH('Comparison of banks'!$D$4,'Data table'!$C$10:$C$33,0),MATCH($B9,'Data table'!$P$7:$R$7,0)),0,17),"")</f>
        <v/>
      </c>
      <c r="F9" s="42" t="str">
        <f ca="1">IFERROR(OFFSET(INDEX('Data table'!$E$10:$AX$33,MATCH('Comparison of banks'!$D$4,'Data table'!$C$10:$C$33,0),MATCH($B9,'Data table'!$P$7:$R$7,0)),0,20),"")</f>
        <v/>
      </c>
      <c r="G9" s="45" t="str">
        <f ca="1">IFERROR(OFFSET(INDEX('Data table'!$E$10:$AX$33,MATCH('Comparison of banks'!$H$4,'Data table'!$C$10:$C$33,0),MATCH($B9,'Data table'!$P$7:$R$7,0)),0,11),"")</f>
        <v/>
      </c>
      <c r="H9" s="45" t="str">
        <f ca="1">IFERROR(OFFSET(INDEX('Data table'!$E$10:$AX$33,MATCH('Comparison of banks'!$H$4,'Data table'!$C$10:$C$33,0),MATCH($B9,'Data table'!$P$7:$R$7,0)),0,14),"")</f>
        <v/>
      </c>
      <c r="I9" s="42" t="str">
        <f ca="1">IFERROR(OFFSET(INDEX('Data table'!$E$10:$AX$33,MATCH('Comparison of banks'!$H$4,'Data table'!$C$10:$C$33,0),MATCH($B9,'Data table'!$P$7:$R$7,0)),0,17),"")</f>
        <v/>
      </c>
      <c r="J9" s="42" t="str">
        <f ca="1">IFERROR(OFFSET(INDEX('Data table'!$E$10:$AX$33,MATCH('Comparison of banks'!$H$4,'Data table'!$C$10:$C$33,0),MATCH($B9,'Data table'!$P$7:$R$7,0)),0,20),"")</f>
        <v/>
      </c>
      <c r="K9" s="45" t="str">
        <f ca="1">IFERROR(OFFSET(INDEX('Data table'!$E$10:$AX$33,MATCH('Comparison of banks'!L$4,'Data table'!$C$10:$C$33,0),MATCH($B9,'Data table'!$P$7:$R$7,0)),0,11),"")</f>
        <v/>
      </c>
      <c r="L9" s="45" t="str">
        <f ca="1">IFERROR(OFFSET(INDEX('Data table'!$E$10:$AX$33,MATCH('Comparison of banks'!L$4,'Data table'!$C$10:$C$33,0),MATCH($B9,'Data table'!$P$7:$R$7,0)),0,14),"")</f>
        <v/>
      </c>
      <c r="M9" s="42" t="str">
        <f ca="1">IFERROR(OFFSET(INDEX('Data table'!$E$10:$AX$33,MATCH('Comparison of banks'!L$4,'Data table'!$C$10:$C$33,0),MATCH($B9,'Data table'!$P$7:$R$7,0)),0,17),"")</f>
        <v/>
      </c>
      <c r="N9" s="42" t="str">
        <f ca="1">IFERROR(OFFSET(INDEX('Data table'!$E$10:$AX$33,MATCH('Comparison of banks'!L$4,'Data table'!$C$10:$C$33,0),MATCH($B9,'Data table'!$P$7:$R$7,0)),0,20),"")</f>
        <v/>
      </c>
      <c r="O9" s="45" t="str">
        <f ca="1">IFERROR(OFFSET(INDEX('Data table'!$E$10:$AX$33,MATCH('Comparison of banks'!P$4,'Data table'!$C$10:$C$33,0),MATCH($B9,'Data table'!$P$7:$R$7,0)),0,11),"")</f>
        <v/>
      </c>
      <c r="P9" s="45" t="str">
        <f ca="1">IFERROR(OFFSET(INDEX('Data table'!$E$10:$AX$33,MATCH('Comparison of banks'!P$4,'Data table'!$C$10:$C$33,0),MATCH($B9,'Data table'!$P$7:$R$7,0)),0,14),"")</f>
        <v/>
      </c>
      <c r="Q9" s="42" t="str">
        <f ca="1">IFERROR(OFFSET(INDEX('Data table'!$E$10:$AX$33,MATCH('Comparison of banks'!P$4,'Data table'!$C$10:$C$33,0),MATCH($B9,'Data table'!$P$7:$R$7,0)),0,17),"")</f>
        <v/>
      </c>
      <c r="R9" s="42" t="str">
        <f ca="1">IFERROR(OFFSET(INDEX('Data table'!$E$10:$AX$33,MATCH('Comparison of banks'!P$4,'Data table'!$C$10:$C$33,0),MATCH($B9,'Data table'!$P$7:$R$7,0)),0,20),"")</f>
        <v/>
      </c>
    </row>
    <row r="10" spans="2:19" x14ac:dyDescent="0.25">
      <c r="B10" s="89" t="str">
        <f>'Data table'!Q7</f>
        <v>2nd</v>
      </c>
      <c r="C10" s="45" t="str">
        <f ca="1">IFERROR(OFFSET(INDEX('Data table'!$E$10:$AX$33,MATCH('Comparison of banks'!$D$4,'Data table'!$C$10:$C$33,0),MATCH($B10,'Data table'!$P$7:$R$7,0)),0,11),"")</f>
        <v/>
      </c>
      <c r="D10" s="45" t="str">
        <f ca="1">IFERROR(OFFSET(INDEX('Data table'!$E$10:$AX$33,MATCH('Comparison of banks'!$D$4,'Data table'!$C$10:$C$33,0),MATCH($B10,'Data table'!$P$7:$R$7,0)),0,14),"")</f>
        <v/>
      </c>
      <c r="E10" s="42" t="str">
        <f ca="1">IFERROR(OFFSET(INDEX('Data table'!$E$10:$AX$33,MATCH('Comparison of banks'!$D$4,'Data table'!$C$10:$C$33,0),MATCH($B10,'Data table'!$P$7:$R$7,0)),0,17),"")</f>
        <v/>
      </c>
      <c r="F10" s="42" t="str">
        <f ca="1">IFERROR(OFFSET(INDEX('Data table'!$E$10:$AX$33,MATCH('Comparison of banks'!$D$4,'Data table'!$C$10:$C$33,0),MATCH($B10,'Data table'!$P$7:$R$7,0)),0,20),"")</f>
        <v/>
      </c>
      <c r="G10" s="45" t="str">
        <f ca="1">IFERROR(OFFSET(INDEX('Data table'!$E$10:$AX$33,MATCH('Comparison of banks'!$H$4,'Data table'!$C$10:$C$33,0),MATCH($B10,'Data table'!$P$7:$R$7,0)),0,11),"")</f>
        <v/>
      </c>
      <c r="H10" s="45" t="str">
        <f ca="1">IFERROR(OFFSET(INDEX('Data table'!$E$10:$AX$33,MATCH('Comparison of banks'!$H$4,'Data table'!$C$10:$C$33,0),MATCH($B10,'Data table'!$P$7:$R$7,0)),0,14),"")</f>
        <v/>
      </c>
      <c r="I10" s="42" t="str">
        <f ca="1">IFERROR(OFFSET(INDEX('Data table'!$E$10:$AX$33,MATCH('Comparison of banks'!$H$4,'Data table'!$C$10:$C$33,0),MATCH($B10,'Data table'!$P$7:$R$7,0)),0,17),"")</f>
        <v/>
      </c>
      <c r="J10" s="42" t="str">
        <f ca="1">IFERROR(OFFSET(INDEX('Data table'!$E$10:$AX$33,MATCH('Comparison of banks'!$H$4,'Data table'!$C$10:$C$33,0),MATCH($B10,'Data table'!$P$7:$R$7,0)),0,20),"")</f>
        <v/>
      </c>
      <c r="K10" s="45" t="str">
        <f ca="1">IFERROR(OFFSET(INDEX('Data table'!$E$10:$AX$33,MATCH('Comparison of banks'!L$4,'Data table'!$C$10:$C$33,0),MATCH($B10,'Data table'!$P$7:$R$7,0)),0,11),"")</f>
        <v/>
      </c>
      <c r="L10" s="45" t="str">
        <f ca="1">IFERROR(OFFSET(INDEX('Data table'!$E$10:$AX$33,MATCH('Comparison of banks'!L$4,'Data table'!$C$10:$C$33,0),MATCH($B10,'Data table'!$P$7:$R$7,0)),0,14),"")</f>
        <v/>
      </c>
      <c r="M10" s="42" t="str">
        <f ca="1">IFERROR(OFFSET(INDEX('Data table'!$E$10:$AX$33,MATCH('Comparison of banks'!L$4,'Data table'!$C$10:$C$33,0),MATCH($B10,'Data table'!$P$7:$R$7,0)),0,17),"")</f>
        <v/>
      </c>
      <c r="N10" s="42" t="str">
        <f ca="1">IFERROR(OFFSET(INDEX('Data table'!$E$10:$AX$33,MATCH('Comparison of banks'!L$4,'Data table'!$C$10:$C$33,0),MATCH($B10,'Data table'!$P$7:$R$7,0)),0,20),"")</f>
        <v/>
      </c>
      <c r="O10" s="45" t="str">
        <f ca="1">IFERROR(OFFSET(INDEX('Data table'!$E$10:$AX$33,MATCH('Comparison of banks'!P$4,'Data table'!$C$10:$C$33,0),MATCH($B10,'Data table'!$P$7:$R$7,0)),0,11),"")</f>
        <v/>
      </c>
      <c r="P10" s="45" t="str">
        <f ca="1">IFERROR(OFFSET(INDEX('Data table'!$E$10:$AX$33,MATCH('Comparison of banks'!P$4,'Data table'!$C$10:$C$33,0),MATCH($B10,'Data table'!$P$7:$R$7,0)),0,14),"")</f>
        <v/>
      </c>
      <c r="Q10" s="42" t="str">
        <f ca="1">IFERROR(OFFSET(INDEX('Data table'!$E$10:$AX$33,MATCH('Comparison of banks'!P$4,'Data table'!$C$10:$C$33,0),MATCH($B10,'Data table'!$P$7:$R$7,0)),0,17),"")</f>
        <v/>
      </c>
      <c r="R10" s="42" t="str">
        <f ca="1">IFERROR(OFFSET(INDEX('Data table'!$E$10:$AX$33,MATCH('Comparison of banks'!P$4,'Data table'!$C$10:$C$33,0),MATCH($B10,'Data table'!$P$7:$R$7,0)),0,20),"")</f>
        <v/>
      </c>
    </row>
    <row r="11" spans="2:19" x14ac:dyDescent="0.25">
      <c r="B11" s="89" t="str">
        <f>'Data table'!R7</f>
        <v>3rd</v>
      </c>
      <c r="C11" s="45" t="str">
        <f ca="1">IFERROR(OFFSET(INDEX('Data table'!$E$10:$AX$33,MATCH('Comparison of banks'!$D$4,'Data table'!$C$10:$C$33,0),MATCH($B11,'Data table'!$P$7:$R$7,0)),0,11),"")</f>
        <v/>
      </c>
      <c r="D11" s="45" t="str">
        <f ca="1">IFERROR(OFFSET(INDEX('Data table'!$E$10:$AX$33,MATCH('Comparison of banks'!$D$4,'Data table'!$C$10:$C$33,0),MATCH($B11,'Data table'!$P$7:$R$7,0)),0,14),"")</f>
        <v/>
      </c>
      <c r="E11" s="42" t="str">
        <f ca="1">IFERROR(OFFSET(INDEX('Data table'!$E$10:$AX$33,MATCH('Comparison of banks'!$D$4,'Data table'!$C$10:$C$33,0),MATCH($B11,'Data table'!$P$7:$R$7,0)),0,17),"")</f>
        <v/>
      </c>
      <c r="F11" s="42" t="str">
        <f ca="1">IFERROR(OFFSET(INDEX('Data table'!$E$10:$AX$33,MATCH('Comparison of banks'!$D$4,'Data table'!$C$10:$C$33,0),MATCH($B11,'Data table'!$P$7:$R$7,0)),0,20),"")</f>
        <v/>
      </c>
      <c r="G11" s="45" t="str">
        <f ca="1">IFERROR(OFFSET(INDEX('Data table'!$E$10:$AX$33,MATCH('Comparison of banks'!$H$4,'Data table'!$C$10:$C$33,0),MATCH($B11,'Data table'!$P$7:$R$7,0)),0,11),"")</f>
        <v/>
      </c>
      <c r="H11" s="45" t="str">
        <f ca="1">IFERROR(OFFSET(INDEX('Data table'!$E$10:$AX$33,MATCH('Comparison of banks'!$H$4,'Data table'!$C$10:$C$33,0),MATCH($B11,'Data table'!$P$7:$R$7,0)),0,14),"")</f>
        <v/>
      </c>
      <c r="I11" s="42" t="str">
        <f ca="1">IFERROR(OFFSET(INDEX('Data table'!$E$10:$AX$33,MATCH('Comparison of banks'!$H$4,'Data table'!$C$10:$C$33,0),MATCH($B11,'Data table'!$P$7:$R$7,0)),0,17),"")</f>
        <v/>
      </c>
      <c r="J11" s="42" t="str">
        <f ca="1">IFERROR(OFFSET(INDEX('Data table'!$E$10:$AX$33,MATCH('Comparison of banks'!$H$4,'Data table'!$C$10:$C$33,0),MATCH($B11,'Data table'!$P$7:$R$7,0)),0,20),"")</f>
        <v/>
      </c>
      <c r="K11" s="45" t="str">
        <f ca="1">IFERROR(OFFSET(INDEX('Data table'!$E$10:$AX$33,MATCH('Comparison of banks'!L$4,'Data table'!$C$10:$C$33,0),MATCH($B11,'Data table'!$P$7:$R$7,0)),0,11),"")</f>
        <v/>
      </c>
      <c r="L11" s="45" t="str">
        <f ca="1">IFERROR(OFFSET(INDEX('Data table'!$E$10:$AX$33,MATCH('Comparison of banks'!L$4,'Data table'!$C$10:$C$33,0),MATCH($B11,'Data table'!$P$7:$R$7,0)),0,14),"")</f>
        <v/>
      </c>
      <c r="M11" s="42" t="str">
        <f ca="1">IFERROR(OFFSET(INDEX('Data table'!$E$10:$AX$33,MATCH('Comparison of banks'!L$4,'Data table'!$C$10:$C$33,0),MATCH($B11,'Data table'!$P$7:$R$7,0)),0,17),"")</f>
        <v/>
      </c>
      <c r="N11" s="42" t="str">
        <f ca="1">IFERROR(OFFSET(INDEX('Data table'!$E$10:$AX$33,MATCH('Comparison of banks'!L$4,'Data table'!$C$10:$C$33,0),MATCH($B11,'Data table'!$P$7:$R$7,0)),0,20),"")</f>
        <v/>
      </c>
      <c r="O11" s="45" t="str">
        <f ca="1">IFERROR(OFFSET(INDEX('Data table'!$E$10:$AX$33,MATCH('Comparison of banks'!P$4,'Data table'!$C$10:$C$33,0),MATCH($B11,'Data table'!$P$7:$R$7,0)),0,11),"")</f>
        <v/>
      </c>
      <c r="P11" s="45" t="str">
        <f ca="1">IFERROR(OFFSET(INDEX('Data table'!$E$10:$AX$33,MATCH('Comparison of banks'!P$4,'Data table'!$C$10:$C$33,0),MATCH($B11,'Data table'!$P$7:$R$7,0)),0,14),"")</f>
        <v/>
      </c>
      <c r="Q11" s="42" t="str">
        <f ca="1">IFERROR(OFFSET(INDEX('Data table'!$E$10:$AX$33,MATCH('Comparison of banks'!P$4,'Data table'!$C$10:$C$33,0),MATCH($B11,'Data table'!$P$7:$R$7,0)),0,17),"")</f>
        <v/>
      </c>
      <c r="R11" s="42" t="str">
        <f ca="1">IFERROR(OFFSET(INDEX('Data table'!$E$10:$AX$33,MATCH('Comparison of banks'!P$4,'Data table'!$C$10:$C$33,0),MATCH($B11,'Data table'!$P$7:$R$7,0)),0,20),"")</f>
        <v/>
      </c>
    </row>
    <row r="12" spans="2:19" ht="13.2" customHeight="1" x14ac:dyDescent="0.25">
      <c r="B12" s="99" t="str">
        <f>B8</f>
        <v>Forecast year</v>
      </c>
      <c r="C12" s="140" t="str">
        <f>'Comparison with group'!C13:O13</f>
        <v>Adverse scenario</v>
      </c>
      <c r="D12" s="141"/>
      <c r="E12" s="141"/>
      <c r="F12" s="141"/>
      <c r="G12" s="141"/>
      <c r="H12" s="141"/>
      <c r="I12" s="141"/>
      <c r="J12" s="141"/>
      <c r="K12" s="141"/>
      <c r="L12" s="141"/>
      <c r="M12" s="141"/>
      <c r="N12" s="141"/>
      <c r="O12" s="141"/>
      <c r="P12" s="141"/>
      <c r="Q12" s="141"/>
      <c r="R12" s="142"/>
    </row>
    <row r="13" spans="2:19" ht="14.4" customHeight="1" x14ac:dyDescent="0.25">
      <c r="B13" s="89" t="str">
        <f>B9</f>
        <v>1st</v>
      </c>
      <c r="C13" s="67" t="str">
        <f ca="1">IFERROR(OFFSET(INDEX('Data table'!$E$10:$AX$33,MATCH('Comparison of banks'!$D$4,'Data table'!$C$10:$C$33,0),MATCH($B13,'Data table'!$P$7:$R$7,0)),0,26),"")</f>
        <v/>
      </c>
      <c r="D13" s="67" t="str">
        <f ca="1">IFERROR(OFFSET(INDEX('Data table'!$E$10:$AX$33,MATCH('Comparison of banks'!$D$4,'Data table'!$C$10:$C$33,0),MATCH($B13,'Data table'!$P$7:$R$7,0)),0,29),"")</f>
        <v/>
      </c>
      <c r="E13" s="42" t="str">
        <f ca="1">IFERROR(OFFSET(INDEX('Data table'!$E$10:$AX$33,MATCH('Comparison of banks'!$D$4,'Data table'!$C$10:$C$33,0),MATCH($B13,'Data table'!$P$7:$R$7,0)),0,32),"")</f>
        <v/>
      </c>
      <c r="F13" s="42" t="str">
        <f ca="1">IFERROR(OFFSET(INDEX('Data table'!$E$10:$AX$33,MATCH('Comparison of banks'!$D$4,'Data table'!$C$10:$C$33,0),MATCH($B13,'Data table'!$P$7:$R$7,0)),0,35),"")</f>
        <v/>
      </c>
      <c r="G13" s="45" t="str">
        <f ca="1">IFERROR(OFFSET(INDEX('Data table'!$E$10:$AX$33,MATCH('Comparison of banks'!$H$4,'Data table'!$C$10:$C$33,0),MATCH($B13,'Data table'!$P$7:$R$7,0)),0,26),"")</f>
        <v/>
      </c>
      <c r="H13" s="45" t="str">
        <f ca="1">IFERROR(OFFSET(INDEX('Data table'!$E$10:$AX$33,MATCH('Comparison of banks'!$H$4,'Data table'!$C$10:$C$33,0),MATCH($B13,'Data table'!$P$7:$R$7,0)),0,29),"")</f>
        <v/>
      </c>
      <c r="I13" s="42" t="str">
        <f ca="1">IFERROR(OFFSET(INDEX('Data table'!$E$10:$AX$33,MATCH('Comparison of banks'!$H$4,'Data table'!$C$10:$C$33,0),MATCH($B13,'Data table'!$P$7:$R$7,0)),0,32),"")</f>
        <v/>
      </c>
      <c r="J13" s="42" t="str">
        <f ca="1">IFERROR(OFFSET(INDEX('Data table'!$E$10:$AX$33,MATCH('Comparison of banks'!$H$4,'Data table'!$C$10:$C$33,0),MATCH($B13,'Data table'!$P$7:$R$7,0)),0,35),"")</f>
        <v/>
      </c>
      <c r="K13" s="45" t="str">
        <f ca="1">IFERROR(OFFSET(INDEX('Data table'!$E$10:$AX$33,MATCH('Comparison of banks'!L$4,'Data table'!$C$10:$C$33,0),MATCH($B13,'Data table'!$P$7:$R$7,0)),0,26),"")</f>
        <v/>
      </c>
      <c r="L13" s="45" t="str">
        <f ca="1">IFERROR(OFFSET(INDEX('Data table'!$E$10:$AX$33,MATCH('Comparison of banks'!L$4,'Data table'!$C$10:$C$33,0),MATCH($B13,'Data table'!$P$7:$R$7,0)),0,29),"")</f>
        <v/>
      </c>
      <c r="M13" s="42" t="str">
        <f ca="1">IFERROR(OFFSET(INDEX('Data table'!$E$10:$AX$33,MATCH('Comparison of banks'!L$4,'Data table'!$C$10:$C$33,0),MATCH($B13,'Data table'!$P$7:$R$7,0)),0,32),"")</f>
        <v/>
      </c>
      <c r="N13" s="42" t="str">
        <f ca="1">IFERROR(OFFSET(INDEX('Data table'!$E$10:$AX$33,MATCH('Comparison of banks'!L$4,'Data table'!$C$10:$C$33,0),MATCH($B13,'Data table'!$P$7:$R$7,0)),0,35),"")</f>
        <v/>
      </c>
      <c r="O13" s="45" t="str">
        <f ca="1">IFERROR(OFFSET(INDEX('Data table'!$E$10:$AX$33,MATCH('Comparison of banks'!P$4,'Data table'!$C$10:$C$33,0),MATCH($B13,'Data table'!$P$7:$R$7,0)),0,26),"")</f>
        <v/>
      </c>
      <c r="P13" s="45" t="str">
        <f ca="1">IFERROR(OFFSET(INDEX('Data table'!$E$10:$AX$33,MATCH('Comparison of banks'!P$4,'Data table'!$C$10:$C$33,0),MATCH($B13,'Data table'!$P$7:$R$7,0)),0,29),"")</f>
        <v/>
      </c>
      <c r="Q13" s="42" t="str">
        <f ca="1">IFERROR(OFFSET(INDEX('Data table'!$E$10:$AX$33,MATCH('Comparison of banks'!P$4,'Data table'!$C$10:$C$33,0),MATCH($B13,'Data table'!$P$7:$R$7,0)),0,32),"")</f>
        <v/>
      </c>
      <c r="R13" s="42" t="str">
        <f ca="1">IFERROR(OFFSET(INDEX('Data table'!$E$10:$AX$33,MATCH('Comparison of banks'!P$4,'Data table'!$C$10:$C$33,0),MATCH($B13,'Data table'!$P$7:$R$7,0)),0,35),"")</f>
        <v/>
      </c>
    </row>
    <row r="14" spans="2:19" x14ac:dyDescent="0.25">
      <c r="B14" s="89" t="str">
        <f t="shared" ref="B14:B15" si="3">B10</f>
        <v>2nd</v>
      </c>
      <c r="C14" s="68" t="str">
        <f ca="1">IFERROR(OFFSET(INDEX('Data table'!$E$10:$AX$33,MATCH('Comparison of banks'!$D$4,'Data table'!$C$10:$C$33,0),MATCH($B14,'Data table'!$P$7:$R$7,0)),0,26),"")</f>
        <v/>
      </c>
      <c r="D14" s="67" t="str">
        <f ca="1">IFERROR(OFFSET(INDEX('Data table'!$E$10:$AX$33,MATCH('Comparison of banks'!$D$4,'Data table'!$C$10:$C$33,0),MATCH($B14,'Data table'!$P$7:$R$7,0)),0,29),"")</f>
        <v/>
      </c>
      <c r="E14" s="42" t="str">
        <f ca="1">IFERROR(OFFSET(INDEX('Data table'!$E$10:$AX$33,MATCH('Comparison of banks'!$D$4,'Data table'!$C$10:$C$33,0),MATCH($B14,'Data table'!$P$7:$R$7,0)),0,32),"")</f>
        <v/>
      </c>
      <c r="F14" s="71" t="str">
        <f ca="1">IFERROR(OFFSET(INDEX('Data table'!$E$10:$AX$33,MATCH('Comparison of banks'!$D$4,'Data table'!$C$10:$C$33,0),MATCH($B14,'Data table'!$P$7:$R$7,0)),0,35),"")</f>
        <v/>
      </c>
      <c r="G14" s="45" t="str">
        <f ca="1">IFERROR(OFFSET(INDEX('Data table'!$E$10:$AX$33,MATCH('Comparison of banks'!$H$4,'Data table'!$C$10:$C$33,0),MATCH($B14,'Data table'!$P$7:$R$7,0)),0,26),"")</f>
        <v/>
      </c>
      <c r="H14" s="45" t="str">
        <f ca="1">IFERROR(OFFSET(INDEX('Data table'!$E$10:$AX$33,MATCH('Comparison of banks'!$H$4,'Data table'!$C$10:$C$33,0),MATCH($B14,'Data table'!$P$7:$R$7,0)),0,29),"")</f>
        <v/>
      </c>
      <c r="I14" s="42" t="str">
        <f ca="1">IFERROR(OFFSET(INDEX('Data table'!$E$10:$AX$33,MATCH('Comparison of banks'!$H$4,'Data table'!$C$10:$C$33,0),MATCH($B14,'Data table'!$P$7:$R$7,0)),0,32),"")</f>
        <v/>
      </c>
      <c r="J14" s="42" t="str">
        <f ca="1">IFERROR(OFFSET(INDEX('Data table'!$E$10:$AX$33,MATCH('Comparison of banks'!$H$4,'Data table'!$C$10:$C$33,0),MATCH($B14,'Data table'!$P$7:$R$7,0)),0,35),"")</f>
        <v/>
      </c>
      <c r="K14" s="45" t="str">
        <f ca="1">IFERROR(OFFSET(INDEX('Data table'!$E$10:$AX$33,MATCH('Comparison of banks'!L$4,'Data table'!$C$10:$C$33,0),MATCH($B14,'Data table'!$P$7:$R$7,0)),0,26),"")</f>
        <v/>
      </c>
      <c r="L14" s="45" t="str">
        <f ca="1">IFERROR(OFFSET(INDEX('Data table'!$E$10:$AX$33,MATCH('Comparison of banks'!L$4,'Data table'!$C$10:$C$33,0),MATCH($B14,'Data table'!$P$7:$R$7,0)),0,29),"")</f>
        <v/>
      </c>
      <c r="M14" s="42" t="str">
        <f ca="1">IFERROR(OFFSET(INDEX('Data table'!$E$10:$AX$33,MATCH('Comparison of banks'!L$4,'Data table'!$C$10:$C$33,0),MATCH($B14,'Data table'!$P$7:$R$7,0)),0,32),"")</f>
        <v/>
      </c>
      <c r="N14" s="42" t="str">
        <f ca="1">IFERROR(OFFSET(INDEX('Data table'!$E$10:$AX$33,MATCH('Comparison of banks'!L$4,'Data table'!$C$10:$C$33,0),MATCH($B14,'Data table'!$P$7:$R$7,0)),0,35),"")</f>
        <v/>
      </c>
      <c r="O14" s="45" t="str">
        <f ca="1">IFERROR(OFFSET(INDEX('Data table'!$E$10:$AX$33,MATCH('Comparison of banks'!P$4,'Data table'!$C$10:$C$33,0),MATCH($B14,'Data table'!$P$7:$R$7,0)),0,26),"")</f>
        <v/>
      </c>
      <c r="P14" s="45" t="str">
        <f ca="1">IFERROR(OFFSET(INDEX('Data table'!$E$10:$AX$33,MATCH('Comparison of banks'!P$4,'Data table'!$C$10:$C$33,0),MATCH($B14,'Data table'!$P$7:$R$7,0)),0,29),"")</f>
        <v/>
      </c>
      <c r="Q14" s="42" t="str">
        <f ca="1">IFERROR(OFFSET(INDEX('Data table'!$E$10:$AX$33,MATCH('Comparison of banks'!P$4,'Data table'!$C$10:$C$33,0),MATCH($B14,'Data table'!$P$7:$R$7,0)),0,32),"")</f>
        <v/>
      </c>
      <c r="R14" s="42" t="str">
        <f ca="1">IFERROR(OFFSET(INDEX('Data table'!$E$10:$AX$33,MATCH('Comparison of banks'!P$4,'Data table'!$C$10:$C$33,0),MATCH($B14,'Data table'!$P$7:$R$7,0)),0,35),"")</f>
        <v/>
      </c>
    </row>
    <row r="15" spans="2:19" x14ac:dyDescent="0.25">
      <c r="B15" s="89" t="str">
        <f t="shared" si="3"/>
        <v>3rd</v>
      </c>
      <c r="C15" s="68" t="str">
        <f ca="1">IFERROR(OFFSET(INDEX('Data table'!$E$10:$AX$33,MATCH('Comparison of banks'!$D$4,'Data table'!$C$10:$C$33,0),MATCH($B15,'Data table'!$P$7:$R$7,0)),0,26),"")</f>
        <v/>
      </c>
      <c r="D15" s="67" t="str">
        <f ca="1">IFERROR(OFFSET(INDEX('Data table'!$E$10:$AX$33,MATCH('Comparison of banks'!$D$4,'Data table'!$C$10:$C$33,0),MATCH($B15,'Data table'!$P$7:$R$7,0)),0,29),"")</f>
        <v/>
      </c>
      <c r="E15" s="42" t="str">
        <f ca="1">IFERROR(OFFSET(INDEX('Data table'!$E$10:$AX$33,MATCH('Comparison of banks'!$D$4,'Data table'!$C$10:$C$33,0),MATCH($B15,'Data table'!$P$7:$R$7,0)),0,32),"")</f>
        <v/>
      </c>
      <c r="F15" s="71" t="str">
        <f ca="1">IFERROR(OFFSET(INDEX('Data table'!$E$10:$AX$33,MATCH('Comparison of banks'!$D$4,'Data table'!$C$10:$C$33,0),MATCH($B15,'Data table'!$P$7:$R$7,0)),0,35),"")</f>
        <v/>
      </c>
      <c r="G15" s="45" t="str">
        <f ca="1">IFERROR(OFFSET(INDEX('Data table'!$E$10:$AX$33,MATCH('Comparison of banks'!$H$4,'Data table'!$C$10:$C$33,0),MATCH($B15,'Data table'!$P$7:$R$7,0)),0,26),"")</f>
        <v/>
      </c>
      <c r="H15" s="45" t="str">
        <f ca="1">IFERROR(OFFSET(INDEX('Data table'!$E$10:$AX$33,MATCH('Comparison of banks'!$H$4,'Data table'!$C$10:$C$33,0),MATCH($B15,'Data table'!$P$7:$R$7,0)),0,29),"")</f>
        <v/>
      </c>
      <c r="I15" s="42" t="str">
        <f ca="1">IFERROR(OFFSET(INDEX('Data table'!$E$10:$AX$33,MATCH('Comparison of banks'!$H$4,'Data table'!$C$10:$C$33,0),MATCH($B15,'Data table'!$P$7:$R$7,0)),0,32),"")</f>
        <v/>
      </c>
      <c r="J15" s="42" t="str">
        <f ca="1">IFERROR(OFFSET(INDEX('Data table'!$E$10:$AX$33,MATCH('Comparison of banks'!$H$4,'Data table'!$C$10:$C$33,0),MATCH($B15,'Data table'!$P$7:$R$7,0)),0,35),"")</f>
        <v/>
      </c>
      <c r="K15" s="45" t="str">
        <f ca="1">IFERROR(OFFSET(INDEX('Data table'!$E$10:$AX$33,MATCH('Comparison of banks'!L$4,'Data table'!$C$10:$C$33,0),MATCH($B15,'Data table'!$P$7:$R$7,0)),0,26),"")</f>
        <v/>
      </c>
      <c r="L15" s="45" t="str">
        <f ca="1">IFERROR(OFFSET(INDEX('Data table'!$E$10:$AX$33,MATCH('Comparison of banks'!L$4,'Data table'!$C$10:$C$33,0),MATCH($B15,'Data table'!$P$7:$R$7,0)),0,29),"")</f>
        <v/>
      </c>
      <c r="M15" s="42" t="str">
        <f ca="1">IFERROR(OFFSET(INDEX('Data table'!$E$10:$AX$33,MATCH('Comparison of banks'!L$4,'Data table'!$C$10:$C$33,0),MATCH($B15,'Data table'!$P$7:$R$7,0)),0,32),"")</f>
        <v/>
      </c>
      <c r="N15" s="42" t="str">
        <f ca="1">IFERROR(OFFSET(INDEX('Data table'!$E$10:$AX$33,MATCH('Comparison of banks'!L$4,'Data table'!$C$10:$C$33,0),MATCH($B15,'Data table'!$P$7:$R$7,0)),0,35),"")</f>
        <v/>
      </c>
      <c r="O15" s="45" t="str">
        <f ca="1">IFERROR(OFFSET(INDEX('Data table'!$E$10:$AX$33,MATCH('Comparison of banks'!P$4,'Data table'!$C$10:$C$33,0),MATCH($B15,'Data table'!$P$7:$R$7,0)),0,26),"")</f>
        <v/>
      </c>
      <c r="P15" s="45" t="str">
        <f ca="1">IFERROR(OFFSET(INDEX('Data table'!$E$10:$AX$33,MATCH('Comparison of banks'!P$4,'Data table'!$C$10:$C$33,0),MATCH($B15,'Data table'!$P$7:$R$7,0)),0,29),"")</f>
        <v/>
      </c>
      <c r="Q15" s="42" t="str">
        <f ca="1">IFERROR(OFFSET(INDEX('Data table'!$E$10:$AX$33,MATCH('Comparison of banks'!P$4,'Data table'!$C$10:$C$33,0),MATCH($B15,'Data table'!$P$7:$R$7,0)),0,32),"")</f>
        <v/>
      </c>
      <c r="R15" s="42" t="str">
        <f ca="1">IFERROR(OFFSET(INDEX('Data table'!$E$10:$AX$33,MATCH('Comparison of banks'!P$4,'Data table'!$C$10:$C$33,0),MATCH($B15,'Data table'!$P$7:$R$7,0)),0,35),"")</f>
        <v/>
      </c>
    </row>
    <row r="16" spans="2:19" ht="12" customHeight="1" x14ac:dyDescent="0.25">
      <c r="B16" s="124" t="str">
        <f>IF($R$1="ENG","AQR - asset quality review","AQR - дані за результатами оцінки якості активів та прийнятності забезпечення за кредитними операціями банку з урахуванням коригувань фінансової звітності банку за звітний рік та екстраполяції")</f>
        <v>AQR - asset quality review</v>
      </c>
      <c r="C16" s="98"/>
      <c r="D16" s="98"/>
      <c r="E16" s="35"/>
      <c r="F16" s="35"/>
      <c r="G16" s="73"/>
      <c r="H16" s="73"/>
      <c r="I16" s="35"/>
      <c r="J16" s="35"/>
      <c r="K16" s="73"/>
      <c r="L16" s="73"/>
      <c r="M16" s="35"/>
      <c r="N16" s="35"/>
      <c r="O16" s="73"/>
      <c r="P16" s="73"/>
      <c r="Q16" s="35"/>
      <c r="R16" s="35"/>
    </row>
    <row r="17" spans="2:18" ht="11.4" customHeight="1" x14ac:dyDescent="0.25">
      <c r="B17" s="124" t="str">
        <f>IF($R$1="ENG","","ОК - основний капітал, РК - регулятивний капітал, Н2 - норматив адекватності регулятивного капіталу, Н3 - норматив адекватності основного капіталу.")</f>
        <v/>
      </c>
      <c r="C17" s="98"/>
      <c r="D17" s="98"/>
      <c r="E17" s="35"/>
      <c r="J17" s="35"/>
      <c r="K17" s="73"/>
      <c r="L17" s="73"/>
      <c r="M17" s="35"/>
      <c r="N17" s="35"/>
      <c r="O17" s="73"/>
      <c r="P17" s="73"/>
      <c r="Q17" s="35"/>
      <c r="R17" s="35"/>
    </row>
    <row r="19" spans="2:18" ht="13.2" customHeight="1" x14ac:dyDescent="0.25">
      <c r="C19" s="143" t="str">
        <f>IF($R$1="ENG","Core capital under baseline scenario,
UAH mln","Основний капіталза базовим сценарієм, 
млн грн")</f>
        <v>Core capital under baseline scenario,
UAH mln</v>
      </c>
      <c r="D19" s="143"/>
      <c r="E19" s="143"/>
      <c r="F19" s="143"/>
      <c r="G19" s="143" t="str">
        <f>IF($R$1="ENG","Core capital ratio under baseline scenario","Норматив достатності основного капіталу Н3 за базовим сценарієм")</f>
        <v>Core capital ratio under baseline scenario</v>
      </c>
      <c r="H19" s="143"/>
      <c r="I19" s="143"/>
      <c r="J19" s="143"/>
      <c r="K19" s="143" t="str">
        <f>IF($R$1="ENG","Core capital under adverse scenario,
UAH mln","Основний капітал за несприятливим
сценарієм, млн грн")</f>
        <v>Core capital under adverse scenario,
UAH mln</v>
      </c>
      <c r="L19" s="143"/>
      <c r="M19" s="143"/>
      <c r="N19" s="143"/>
      <c r="O19" s="143" t="str">
        <f>IF($R$1="ENG","Core capital ratio under adverse scenario","Норматив достатності основного капіталу Н3 за несприятливим сценарієм")</f>
        <v>Core capital ratio under adverse scenario</v>
      </c>
      <c r="P19" s="143"/>
      <c r="Q19" s="143"/>
      <c r="R19" s="143"/>
    </row>
    <row r="20" spans="2:18" x14ac:dyDescent="0.25">
      <c r="B20" s="75"/>
      <c r="C20" s="143"/>
      <c r="D20" s="143"/>
      <c r="E20" s="143"/>
      <c r="F20" s="143"/>
      <c r="G20" s="143"/>
      <c r="H20" s="143"/>
      <c r="I20" s="143"/>
      <c r="J20" s="143"/>
      <c r="K20" s="143"/>
      <c r="L20" s="143"/>
      <c r="M20" s="143"/>
      <c r="N20" s="143"/>
      <c r="O20" s="143"/>
      <c r="P20" s="143"/>
      <c r="Q20" s="143"/>
      <c r="R20" s="143"/>
    </row>
  </sheetData>
  <mergeCells count="7">
    <mergeCell ref="G19:J20"/>
    <mergeCell ref="B4:B5"/>
    <mergeCell ref="O19:R20"/>
    <mergeCell ref="K19:N20"/>
    <mergeCell ref="C12:R12"/>
    <mergeCell ref="C8:R8"/>
    <mergeCell ref="C19:F20"/>
  </mergeCells>
  <pageMargins left="0.7" right="0.7" top="0.75" bottom="0.75" header="0.3" footer="0.3"/>
  <pageSetup paperSize="9" orientation="portrait" r:id="rId1"/>
  <ignoredErrors>
    <ignoredError sqref="E4:F4 I4:J4 M4:N4"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6146" r:id="rId4" name="Drop Down 2">
              <controlPr defaultSize="0" autoLine="0" autoPict="0">
                <anchor moveWithCells="1">
                  <from>
                    <xdr:col>2</xdr:col>
                    <xdr:colOff>312420</xdr:colOff>
                    <xdr:row>3</xdr:row>
                    <xdr:rowOff>45720</xdr:rowOff>
                  </from>
                  <to>
                    <xdr:col>5</xdr:col>
                    <xdr:colOff>426720</xdr:colOff>
                    <xdr:row>3</xdr:row>
                    <xdr:rowOff>266700</xdr:rowOff>
                  </to>
                </anchor>
              </controlPr>
            </control>
          </mc:Choice>
        </mc:AlternateContent>
        <mc:AlternateContent xmlns:mc="http://schemas.openxmlformats.org/markup-compatibility/2006">
          <mc:Choice Requires="x14">
            <control shapeId="6147" r:id="rId5" name="Drop Down 3">
              <controlPr defaultSize="0" autoLine="0" autoPict="0">
                <anchor moveWithCells="1">
                  <from>
                    <xdr:col>6</xdr:col>
                    <xdr:colOff>335280</xdr:colOff>
                    <xdr:row>3</xdr:row>
                    <xdr:rowOff>38100</xdr:rowOff>
                  </from>
                  <to>
                    <xdr:col>9</xdr:col>
                    <xdr:colOff>411480</xdr:colOff>
                    <xdr:row>3</xdr:row>
                    <xdr:rowOff>259080</xdr:rowOff>
                  </to>
                </anchor>
              </controlPr>
            </control>
          </mc:Choice>
        </mc:AlternateContent>
        <mc:AlternateContent xmlns:mc="http://schemas.openxmlformats.org/markup-compatibility/2006">
          <mc:Choice Requires="x14">
            <control shapeId="6148" r:id="rId6" name="Drop Down 4">
              <controlPr defaultSize="0" autoLine="0" autoPict="0">
                <anchor moveWithCells="1">
                  <from>
                    <xdr:col>10</xdr:col>
                    <xdr:colOff>335280</xdr:colOff>
                    <xdr:row>3</xdr:row>
                    <xdr:rowOff>45720</xdr:rowOff>
                  </from>
                  <to>
                    <xdr:col>13</xdr:col>
                    <xdr:colOff>518160</xdr:colOff>
                    <xdr:row>3</xdr:row>
                    <xdr:rowOff>274320</xdr:rowOff>
                  </to>
                </anchor>
              </controlPr>
            </control>
          </mc:Choice>
        </mc:AlternateContent>
        <mc:AlternateContent xmlns:mc="http://schemas.openxmlformats.org/markup-compatibility/2006">
          <mc:Choice Requires="x14">
            <control shapeId="6150" r:id="rId7" name="Drop Down 6">
              <controlPr defaultSize="0" autoLine="0" autoPict="0">
                <anchor moveWithCells="1">
                  <from>
                    <xdr:col>14</xdr:col>
                    <xdr:colOff>304800</xdr:colOff>
                    <xdr:row>3</xdr:row>
                    <xdr:rowOff>38100</xdr:rowOff>
                  </from>
                  <to>
                    <xdr:col>17</xdr:col>
                    <xdr:colOff>411480</xdr:colOff>
                    <xdr:row>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7"/>
  <sheetViews>
    <sheetView zoomScale="85" zoomScaleNormal="85" workbookViewId="0">
      <selection activeCell="B29" sqref="B29"/>
    </sheetView>
  </sheetViews>
  <sheetFormatPr defaultColWidth="8.88671875" defaultRowHeight="13.2" x14ac:dyDescent="0.25"/>
  <cols>
    <col min="1" max="1" width="3.6640625" style="29" customWidth="1"/>
    <col min="2" max="2" width="22.109375" style="29" customWidth="1"/>
    <col min="3" max="3" width="20.5546875" style="29" customWidth="1"/>
    <col min="4" max="4" width="22.6640625" style="29" customWidth="1"/>
    <col min="5" max="5" width="25.6640625" style="29" customWidth="1"/>
    <col min="6" max="6" width="6.6640625" style="29" customWidth="1"/>
    <col min="7" max="7" width="18.6640625" style="29" customWidth="1"/>
    <col min="8" max="8" width="6.6640625" style="29" customWidth="1"/>
    <col min="9" max="9" width="18.88671875" style="29" customWidth="1"/>
    <col min="10" max="10" width="6.6640625" style="29" customWidth="1"/>
    <col min="11" max="11" width="18.6640625" style="29" customWidth="1"/>
    <col min="12" max="12" width="6.6640625" style="29" customWidth="1"/>
    <col min="13" max="13" width="20" style="29" customWidth="1"/>
    <col min="14" max="14" width="22.33203125" style="29" customWidth="1"/>
    <col min="15" max="18" width="8.88671875" style="29"/>
    <col min="19" max="19" width="3.5546875" style="29" customWidth="1"/>
    <col min="20" max="16384" width="8.88671875" style="29"/>
  </cols>
  <sheetData>
    <row r="1" spans="1:16" x14ac:dyDescent="0.25">
      <c r="M1" s="85"/>
      <c r="N1" s="122" t="str">
        <f>'Individual banks'!J1</f>
        <v>ENG</v>
      </c>
      <c r="O1" s="129" t="s">
        <v>124</v>
      </c>
    </row>
    <row r="2" spans="1:16" x14ac:dyDescent="0.25">
      <c r="B2" s="33" t="str">
        <f>IF($N$1="ENG","Capital need based on diagnostic study results","Потреба (нестача) в капіталі за результатами оцінки стійкості")</f>
        <v>Capital need based on diagnostic study results</v>
      </c>
      <c r="F2" s="30"/>
      <c r="I2" s="34"/>
      <c r="J2" s="34"/>
      <c r="K2" s="34"/>
      <c r="L2" s="34"/>
      <c r="M2" s="34"/>
      <c r="N2" s="34"/>
    </row>
    <row r="3" spans="1:16" x14ac:dyDescent="0.25">
      <c r="G3" s="76"/>
      <c r="H3" s="76"/>
      <c r="I3" s="76"/>
      <c r="J3" s="76"/>
      <c r="K3" s="76"/>
      <c r="L3" s="76"/>
      <c r="N3" s="77" t="str">
        <f>IF($N$1="ENG","(UAH mln)","(млн грн)")</f>
        <v>(UAH mln)</v>
      </c>
      <c r="O3" s="34"/>
    </row>
    <row r="4" spans="1:16" ht="24" customHeight="1" x14ac:dyDescent="0.25">
      <c r="F4" s="102">
        <v>25</v>
      </c>
      <c r="G4" s="103" t="e">
        <f>INDEX('Data table'!$C$10:$C$33,F4,1)</f>
        <v>#REF!</v>
      </c>
      <c r="H4" s="104">
        <v>25</v>
      </c>
      <c r="I4" s="103" t="e">
        <f>INDEX('Data table'!$C$10:$C$33,H4,1)</f>
        <v>#REF!</v>
      </c>
      <c r="J4" s="104">
        <v>25</v>
      </c>
      <c r="K4" s="103" t="e">
        <f>INDEX('Data table'!$C$10:$C$33,J4,1)</f>
        <v>#REF!</v>
      </c>
      <c r="L4" s="104">
        <v>25</v>
      </c>
      <c r="M4" s="103" t="e">
        <f>INDEX('Data table'!$C$10:$C$33,L4,1)</f>
        <v>#REF!</v>
      </c>
      <c r="N4" s="107" t="str">
        <f>IF($N$1="ENG","All banks under stress test","Усього за банками, що проходили СТ")</f>
        <v>All banks under stress test</v>
      </c>
      <c r="O4" s="34"/>
      <c r="P4" s="34"/>
    </row>
    <row r="5" spans="1:16" ht="14.4" customHeight="1" x14ac:dyDescent="0.25">
      <c r="A5" s="78"/>
      <c r="B5" s="137" t="str">
        <f>IF($N$1="ENG","Capital need","Сума потреби (нестачі) у капіталі за результатами оцінки стійкості банку в поточному році")</f>
        <v>Capital need</v>
      </c>
      <c r="C5" s="150" t="str">
        <f>IF($N$1="ENG","Total","Усього")</f>
        <v>Total</v>
      </c>
      <c r="D5" s="150"/>
      <c r="E5" s="150"/>
      <c r="F5" s="151" t="str">
        <f>IFERROR(VLOOKUP(G$4,'Data table'!$C$10:$AX$33,44,0),"")</f>
        <v/>
      </c>
      <c r="G5" s="148"/>
      <c r="H5" s="147" t="str">
        <f>IFERROR(VLOOKUP(I$4,'Data table'!$C$10:$AX$33,44,0),"")</f>
        <v/>
      </c>
      <c r="I5" s="148"/>
      <c r="J5" s="147" t="str">
        <f>IFERROR(VLOOKUP(K$4,'Data table'!$C$10:$AX$33,44,0),"")</f>
        <v/>
      </c>
      <c r="K5" s="148"/>
      <c r="L5" s="147" t="str">
        <f>IFERROR(VLOOKUP(M$4,'Data table'!$C$10:$AX$33,44,0),"")</f>
        <v/>
      </c>
      <c r="M5" s="148"/>
      <c r="N5" s="55">
        <f>SUM('Data table'!$AT$10:$AT$33)</f>
        <v>42145.796999999999</v>
      </c>
    </row>
    <row r="6" spans="1:16" ht="14.4" customHeight="1" x14ac:dyDescent="0.25">
      <c r="A6" s="78"/>
      <c r="B6" s="137"/>
      <c r="C6" s="137" t="str">
        <f>IF($N$1="ENG","To cover with","Покриття потреби (нестачі) у капіталі шляхом виконання:")</f>
        <v>To cover with</v>
      </c>
      <c r="D6" s="136" t="str">
        <f>IF($N$1="ENG","capitalization program till 01.04.19","програми капіталізації до 01.04.19")</f>
        <v>capitalization program till 01.04.19</v>
      </c>
      <c r="E6" s="101" t="str">
        <f>IF($N$1="ENG","total","усього")</f>
        <v>total</v>
      </c>
      <c r="F6" s="145" t="str">
        <f>IFERROR(VLOOKUP(G$4,'Data table'!$C$10:$AX$33,45,0),"")</f>
        <v/>
      </c>
      <c r="G6" s="146"/>
      <c r="H6" s="149" t="str">
        <f>IFERROR(VLOOKUP(I$4,'Data table'!$C$10:$AX$33,45,0),"")</f>
        <v/>
      </c>
      <c r="I6" s="146"/>
      <c r="J6" s="149" t="str">
        <f>IFERROR(VLOOKUP(K$4,'Data table'!$C$10:$AX$33,45,0),"")</f>
        <v/>
      </c>
      <c r="K6" s="146"/>
      <c r="L6" s="149" t="str">
        <f>IFERROR(VLOOKUP(M$4,'Data table'!$C$10:$AX$33,45,0),"")</f>
        <v/>
      </c>
      <c r="M6" s="146"/>
      <c r="N6" s="48">
        <f>SUM('Data table'!$AU$10:$AU$33)</f>
        <v>6119.5540000000001</v>
      </c>
    </row>
    <row r="7" spans="1:16" ht="13.2" customHeight="1" x14ac:dyDescent="0.25">
      <c r="A7" s="78"/>
      <c r="B7" s="137"/>
      <c r="C7" s="137"/>
      <c r="D7" s="138"/>
      <c r="E7" s="100" t="str">
        <f>IF($N$1="ENG","after measures taken","після здійснених заходів")</f>
        <v>after measures taken</v>
      </c>
      <c r="F7" s="152" t="str">
        <f>IFERROR(VLOOKUP(G$4,'Data table'!$C$10:$AX$33,46,0),"")</f>
        <v/>
      </c>
      <c r="G7" s="153"/>
      <c r="H7" s="149" t="str">
        <f>IFERROR(VLOOKUP(I$4,'Data table'!$C$10:$AX$33,46,0),"")</f>
        <v/>
      </c>
      <c r="I7" s="146"/>
      <c r="J7" s="149" t="str">
        <f>IFERROR(VLOOKUP(K$4,'Data table'!$C$10:$AX$33,46,0),"")</f>
        <v/>
      </c>
      <c r="K7" s="146"/>
      <c r="L7" s="149" t="str">
        <f>IFERROR(VLOOKUP(M$4,'Data table'!$C$10:$AX$33,46,0),"")</f>
        <v/>
      </c>
      <c r="M7" s="146"/>
      <c r="N7" s="48">
        <f>SUM('Data table'!$AV$10:$AV$33)</f>
        <v>610.75300000000004</v>
      </c>
      <c r="O7" s="34"/>
    </row>
    <row r="8" spans="1:16" ht="14.4" customHeight="1" x14ac:dyDescent="0.25">
      <c r="A8" s="78"/>
      <c r="B8" s="137"/>
      <c r="C8" s="137"/>
      <c r="D8" s="137" t="str">
        <f>IF($N$1="ENG","restructuring plan till 31.12.19","плану реструктуризації до 31.12.19")</f>
        <v>restructuring plan till 31.12.19</v>
      </c>
      <c r="E8" s="101" t="str">
        <f>IF($N$1="ENG","total","усього")</f>
        <v>total</v>
      </c>
      <c r="F8" s="145" t="str">
        <f>IFERROR(VLOOKUP(G$4,'Data table'!$C$10:$AX$33,47,0),"")</f>
        <v/>
      </c>
      <c r="G8" s="146"/>
      <c r="H8" s="149" t="str">
        <f>IFERROR(VLOOKUP(I$4,'Data table'!$C$10:$AX$33,47,0),"")</f>
        <v/>
      </c>
      <c r="I8" s="146"/>
      <c r="J8" s="149" t="str">
        <f>IFERROR(VLOOKUP(K$4,'Data table'!$C$10:$AX$33,47,0),"")</f>
        <v/>
      </c>
      <c r="K8" s="146"/>
      <c r="L8" s="149" t="str">
        <f>IFERROR(VLOOKUP(M$4,'Data table'!$C$10:$AX$33,47,0),"")</f>
        <v/>
      </c>
      <c r="M8" s="146"/>
      <c r="N8" s="49">
        <f>SUM('Data table'!$AW$10:$AW$33)</f>
        <v>42145.796999999999</v>
      </c>
      <c r="O8" s="34"/>
    </row>
    <row r="9" spans="1:16" ht="13.2" customHeight="1" x14ac:dyDescent="0.25">
      <c r="A9" s="78"/>
      <c r="B9" s="137"/>
      <c r="C9" s="137"/>
      <c r="D9" s="137"/>
      <c r="E9" s="119" t="str">
        <f>IF($N$1="ENG","after measures taken","після здійснених заходів")</f>
        <v>after measures taken</v>
      </c>
      <c r="F9" s="145" t="str">
        <f>IFERROR(VLOOKUP(G$4,'Data table'!$C$10:$AX$33,48,0),"")</f>
        <v/>
      </c>
      <c r="G9" s="146"/>
      <c r="H9" s="149" t="str">
        <f>IFERROR(VLOOKUP(I$4,'Data table'!$C$10:$AX$33,48,0),"")</f>
        <v/>
      </c>
      <c r="I9" s="146"/>
      <c r="J9" s="149" t="str">
        <f>IFERROR(VLOOKUP(K$4,'Data table'!$C$10:$AX$33,48,0),"")</f>
        <v/>
      </c>
      <c r="K9" s="146"/>
      <c r="L9" s="149" t="str">
        <f>IFERROR(VLOOKUP(M$4,'Data table'!$C$10:$AX$33,48,0),"")</f>
        <v/>
      </c>
      <c r="M9" s="146"/>
      <c r="N9" s="48">
        <f>SUM('Data table'!$AX$10:$AX$33)</f>
        <v>8766.2049999999981</v>
      </c>
      <c r="O9" s="73"/>
    </row>
    <row r="10" spans="1:16" x14ac:dyDescent="0.25">
      <c r="K10" s="34"/>
      <c r="L10" s="34"/>
      <c r="M10" s="34"/>
      <c r="N10" s="87"/>
      <c r="O10" s="34"/>
      <c r="P10" s="34"/>
    </row>
    <row r="11" spans="1:16" ht="38.4" customHeight="1" x14ac:dyDescent="0.25">
      <c r="C11" s="143" t="str">
        <f>IFERROR(CONCATENATE(B25,G4),B25)</f>
        <v xml:space="preserve">Capital need
before and after measures taken
</v>
      </c>
      <c r="D11" s="143"/>
      <c r="E11" s="143" t="str">
        <f>IFERROR(CONCATENATE(B25,I4),B25)</f>
        <v xml:space="preserve">Capital need
before and after measures taken
</v>
      </c>
      <c r="F11" s="143"/>
      <c r="G11" s="143"/>
      <c r="H11" s="143" t="str">
        <f>IFERROR(CONCATENATE(B25,K4),B25)</f>
        <v xml:space="preserve">Capital need
before and after measures taken
</v>
      </c>
      <c r="I11" s="143"/>
      <c r="J11" s="143"/>
      <c r="K11" s="143"/>
      <c r="L11" s="143" t="str">
        <f>IFERROR(CONCATENATE(B25,M4),B25)</f>
        <v xml:space="preserve">Capital need
before and after measures taken
</v>
      </c>
      <c r="M11" s="143"/>
      <c r="N11" s="143"/>
    </row>
    <row r="12" spans="1:16" x14ac:dyDescent="0.25">
      <c r="C12" s="74"/>
      <c r="D12" s="74"/>
      <c r="E12" s="74"/>
      <c r="F12" s="74"/>
    </row>
    <row r="25" spans="1:2" x14ac:dyDescent="0.25">
      <c r="B25" s="128" t="str">
        <f>IF($N$1="ENG","Capital need
before and after measures taken
","Сума потреби (нестачі) у капіталі
до та після здійснених заходів
")</f>
        <v xml:space="preserve">Capital need
before and after measures taken
</v>
      </c>
    </row>
    <row r="27" spans="1:2" x14ac:dyDescent="0.25">
      <c r="A27" s="132" t="str">
        <f>IF($N$1="ENG","On 11 June, 2019 data on residual capital need for Ukreximbank were updated. The NBU verified measures taken and reports no capital need.","11 червня 2019 року оновлено дані щодо залишкової потреби капіталу для Укрексімбанку. З урахуванням верифікованих НБУ заходів потреба в капіталі відсутня.")</f>
        <v>On 11 June, 2019 data on residual capital need for Ukreximbank were updated. The NBU verified measures taken and reports no capital need.</v>
      </c>
    </row>
  </sheetData>
  <mergeCells count="29">
    <mergeCell ref="C11:D11"/>
    <mergeCell ref="H11:K11"/>
    <mergeCell ref="J5:K5"/>
    <mergeCell ref="B5:B9"/>
    <mergeCell ref="C5:E5"/>
    <mergeCell ref="C6:C9"/>
    <mergeCell ref="D6:D7"/>
    <mergeCell ref="D8:D9"/>
    <mergeCell ref="F9:G9"/>
    <mergeCell ref="H7:I7"/>
    <mergeCell ref="H8:I8"/>
    <mergeCell ref="H9:I9"/>
    <mergeCell ref="E11:G11"/>
    <mergeCell ref="F5:G5"/>
    <mergeCell ref="F6:G6"/>
    <mergeCell ref="F7:G7"/>
    <mergeCell ref="L11:N11"/>
    <mergeCell ref="L5:M5"/>
    <mergeCell ref="L6:M6"/>
    <mergeCell ref="L7:M7"/>
    <mergeCell ref="L8:M8"/>
    <mergeCell ref="L9:M9"/>
    <mergeCell ref="F8:G8"/>
    <mergeCell ref="H5:I5"/>
    <mergeCell ref="H6:I6"/>
    <mergeCell ref="J9:K9"/>
    <mergeCell ref="J8:K8"/>
    <mergeCell ref="J7:K7"/>
    <mergeCell ref="J6:K6"/>
  </mergeCells>
  <pageMargins left="0.7" right="0.7" top="0.75" bottom="0.75" header="0.3" footer="0.3"/>
  <ignoredErrors>
    <ignoredError sqref="G4 I4 K4 M4" evalError="1"/>
    <ignoredError sqref="E7:E8" formula="1"/>
  </ignoredErrors>
  <drawing r:id="rId1"/>
  <legacyDrawing r:id="rId2"/>
  <mc:AlternateContent xmlns:mc="http://schemas.openxmlformats.org/markup-compatibility/2006">
    <mc:Choice Requires="x14">
      <controls>
        <mc:AlternateContent xmlns:mc="http://schemas.openxmlformats.org/markup-compatibility/2006">
          <mc:Choice Requires="x14">
            <control shapeId="4100" r:id="rId3" name="Drop Down 4">
              <controlPr defaultSize="0" autoLine="0" autoPict="0">
                <anchor moveWithCells="1">
                  <from>
                    <xdr:col>5</xdr:col>
                    <xdr:colOff>22860</xdr:colOff>
                    <xdr:row>3</xdr:row>
                    <xdr:rowOff>22860</xdr:rowOff>
                  </from>
                  <to>
                    <xdr:col>6</xdr:col>
                    <xdr:colOff>1280160</xdr:colOff>
                    <xdr:row>3</xdr:row>
                    <xdr:rowOff>259080</xdr:rowOff>
                  </to>
                </anchor>
              </controlPr>
            </control>
          </mc:Choice>
        </mc:AlternateContent>
        <mc:AlternateContent xmlns:mc="http://schemas.openxmlformats.org/markup-compatibility/2006">
          <mc:Choice Requires="x14">
            <control shapeId="4101" r:id="rId4" name="Drop Down 5">
              <controlPr defaultSize="0" autoLine="0" autoPict="0">
                <anchor moveWithCells="1">
                  <from>
                    <xdr:col>7</xdr:col>
                    <xdr:colOff>83820</xdr:colOff>
                    <xdr:row>3</xdr:row>
                    <xdr:rowOff>22860</xdr:rowOff>
                  </from>
                  <to>
                    <xdr:col>8</xdr:col>
                    <xdr:colOff>1242060</xdr:colOff>
                    <xdr:row>3</xdr:row>
                    <xdr:rowOff>259080</xdr:rowOff>
                  </to>
                </anchor>
              </controlPr>
            </control>
          </mc:Choice>
        </mc:AlternateContent>
        <mc:AlternateContent xmlns:mc="http://schemas.openxmlformats.org/markup-compatibility/2006">
          <mc:Choice Requires="x14">
            <control shapeId="4103" r:id="rId5" name="Drop Down 7">
              <controlPr defaultSize="0" autoLine="0" autoPict="0">
                <anchor moveWithCells="1">
                  <from>
                    <xdr:col>9</xdr:col>
                    <xdr:colOff>45720</xdr:colOff>
                    <xdr:row>3</xdr:row>
                    <xdr:rowOff>22860</xdr:rowOff>
                  </from>
                  <to>
                    <xdr:col>10</xdr:col>
                    <xdr:colOff>1264920</xdr:colOff>
                    <xdr:row>3</xdr:row>
                    <xdr:rowOff>251460</xdr:rowOff>
                  </to>
                </anchor>
              </controlPr>
            </control>
          </mc:Choice>
        </mc:AlternateContent>
        <mc:AlternateContent xmlns:mc="http://schemas.openxmlformats.org/markup-compatibility/2006">
          <mc:Choice Requires="x14">
            <control shapeId="4104" r:id="rId6" name="Drop Down 8">
              <controlPr defaultSize="0" autoLine="0" autoPict="0">
                <anchor moveWithCells="1">
                  <from>
                    <xdr:col>11</xdr:col>
                    <xdr:colOff>45720</xdr:colOff>
                    <xdr:row>3</xdr:row>
                    <xdr:rowOff>22860</xdr:rowOff>
                  </from>
                  <to>
                    <xdr:col>12</xdr:col>
                    <xdr:colOff>1280160</xdr:colOff>
                    <xdr:row>3</xdr:row>
                    <xdr:rowOff>251460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6"/>
  <sheetViews>
    <sheetView zoomScale="85" zoomScaleNormal="85" workbookViewId="0">
      <pane xSplit="3" ySplit="9" topLeftCell="D25" activePane="bottomRight" state="frozen"/>
      <selection pane="topRight" activeCell="D1" sqref="D1"/>
      <selection pane="bottomLeft" activeCell="A14" sqref="A14"/>
      <selection pane="bottomRight" activeCell="A39" sqref="A39"/>
    </sheetView>
  </sheetViews>
  <sheetFormatPr defaultColWidth="8.88671875" defaultRowHeight="13.2" x14ac:dyDescent="0.25"/>
  <cols>
    <col min="1" max="1" width="5.5546875" style="29" customWidth="1"/>
    <col min="2" max="2" width="6.5546875" style="29" customWidth="1"/>
    <col min="3" max="4" width="32.5546875" style="29" customWidth="1"/>
    <col min="5" max="5" width="12.6640625" style="29" customWidth="1"/>
    <col min="6" max="6" width="13.88671875" style="29" customWidth="1"/>
    <col min="7" max="7" width="10.44140625" style="29" customWidth="1"/>
    <col min="8" max="8" width="9" style="29" customWidth="1"/>
    <col min="9" max="9" width="19.33203125" style="29" hidden="1" customWidth="1"/>
    <col min="10" max="10" width="14.5546875" style="29" customWidth="1"/>
    <col min="11" max="12" width="11.33203125" style="29" bestFit="1" customWidth="1"/>
    <col min="13" max="13" width="10.33203125" style="29" customWidth="1"/>
    <col min="14" max="14" width="9" style="29" bestFit="1" customWidth="1"/>
    <col min="15" max="15" width="19.5546875" style="29" hidden="1" customWidth="1"/>
    <col min="16" max="21" width="11.33203125" style="29" bestFit="1" customWidth="1"/>
    <col min="22" max="27" width="9" style="29" bestFit="1" customWidth="1"/>
    <col min="28" max="30" width="9" style="29" hidden="1" customWidth="1"/>
    <col min="31" max="31" width="10.6640625" style="29" bestFit="1" customWidth="1"/>
    <col min="32" max="33" width="11.33203125" style="29" bestFit="1" customWidth="1"/>
    <col min="34" max="34" width="10.6640625" style="29" bestFit="1" customWidth="1"/>
    <col min="35" max="36" width="11.33203125" style="29" bestFit="1" customWidth="1"/>
    <col min="37" max="37" width="9" style="29" bestFit="1" customWidth="1"/>
    <col min="38" max="39" width="9.6640625" style="29" bestFit="1" customWidth="1"/>
    <col min="40" max="40" width="9" style="29" bestFit="1" customWidth="1"/>
    <col min="41" max="42" width="9.6640625" style="29" bestFit="1" customWidth="1"/>
    <col min="43" max="45" width="9.6640625" style="29" hidden="1" customWidth="1"/>
    <col min="46" max="46" width="10" style="29" customWidth="1"/>
    <col min="47" max="47" width="15.33203125" style="29" customWidth="1"/>
    <col min="48" max="48" width="19.33203125" style="29" customWidth="1"/>
    <col min="49" max="49" width="16.6640625" style="29" customWidth="1"/>
    <col min="50" max="50" width="21.44140625" style="29" customWidth="1"/>
    <col min="51" max="16384" width="8.88671875" style="29"/>
  </cols>
  <sheetData>
    <row r="1" spans="1:51" x14ac:dyDescent="0.25">
      <c r="J1" s="122" t="str">
        <f>'Individual banks'!J1</f>
        <v>ENG</v>
      </c>
      <c r="K1" s="129" t="s">
        <v>124</v>
      </c>
    </row>
    <row r="2" spans="1:51" ht="14.4" customHeight="1" x14ac:dyDescent="0.25">
      <c r="B2" s="106" t="str">
        <f>IF($J$1="ENG","Results of the diagnostic study of banks and Ukrainian banking system","Результати оцінки стійкості банків та банківської системи України")</f>
        <v>Results of the diagnostic study of banks and Ukrainian banking system</v>
      </c>
      <c r="C2" s="105"/>
      <c r="D2" s="80"/>
    </row>
    <row r="3" spans="1:51" x14ac:dyDescent="0.25">
      <c r="C3" s="84"/>
      <c r="D3" s="84"/>
    </row>
    <row r="4" spans="1:51" ht="36" customHeight="1" x14ac:dyDescent="0.25">
      <c r="A4" s="154" t="str">
        <f>IF($J$1="ENG","#","Н з/п")</f>
        <v>#</v>
      </c>
      <c r="B4" s="167" t="s">
        <v>102</v>
      </c>
      <c r="C4" s="154" t="str">
        <f>IF($J$1="ENG","Name","Назва")</f>
        <v>Name</v>
      </c>
      <c r="D4" s="154" t="str">
        <f>IF($J$1="ENG","Group","Група")</f>
        <v>Group</v>
      </c>
      <c r="E4" s="155" t="str">
        <f>IF($J$1="ENG","Bank's data","Дані банку")</f>
        <v>Bank's data</v>
      </c>
      <c r="F4" s="156"/>
      <c r="G4" s="156"/>
      <c r="H4" s="156"/>
      <c r="I4" s="157"/>
      <c r="J4" s="155" t="str">
        <f>IF($J$1="ENG","Asset quality review","Дані за результатами оцінки якості активів та прийнятності забезпечення за кредитними операціями банку з урахуванням коригувань фінансової звітності банку за звітний рік та екстраполяції")</f>
        <v>Asset quality review</v>
      </c>
      <c r="K4" s="156"/>
      <c r="L4" s="156"/>
      <c r="M4" s="156"/>
      <c r="N4" s="156"/>
      <c r="O4" s="157"/>
      <c r="P4" s="155" t="str">
        <f>IF($J$1="ENG","Baseline scenario","За базовим макроекономічним сценарієм")</f>
        <v>Baseline scenario</v>
      </c>
      <c r="Q4" s="156"/>
      <c r="R4" s="156"/>
      <c r="S4" s="156"/>
      <c r="T4" s="156"/>
      <c r="U4" s="156"/>
      <c r="V4" s="156"/>
      <c r="W4" s="156"/>
      <c r="X4" s="156"/>
      <c r="Y4" s="156"/>
      <c r="Z4" s="156"/>
      <c r="AA4" s="156"/>
      <c r="AB4" s="156"/>
      <c r="AC4" s="156"/>
      <c r="AD4" s="157"/>
      <c r="AE4" s="155" t="str">
        <f>IF($J$1="ENG","Adverse scenario","За несприятливим макроекономічним сценарієм")</f>
        <v>Adverse scenario</v>
      </c>
      <c r="AF4" s="156"/>
      <c r="AG4" s="156"/>
      <c r="AH4" s="156"/>
      <c r="AI4" s="156"/>
      <c r="AJ4" s="156"/>
      <c r="AK4" s="156"/>
      <c r="AL4" s="156"/>
      <c r="AM4" s="156"/>
      <c r="AN4" s="156"/>
      <c r="AO4" s="156"/>
      <c r="AP4" s="156"/>
      <c r="AQ4" s="156"/>
      <c r="AR4" s="156"/>
      <c r="AS4" s="157"/>
      <c r="AT4" s="170" t="str">
        <f>IF($J$1="ENG","Capital need","Сума потреби (нестачі) у капіталі за результатами оцінки стійкості банку в поточному році")</f>
        <v>Capital need</v>
      </c>
      <c r="AU4" s="170"/>
      <c r="AV4" s="170"/>
      <c r="AW4" s="170"/>
      <c r="AX4" s="170"/>
    </row>
    <row r="5" spans="1:51" ht="36" customHeight="1" x14ac:dyDescent="0.25">
      <c r="A5" s="154"/>
      <c r="B5" s="167"/>
      <c r="C5" s="154"/>
      <c r="D5" s="154"/>
      <c r="E5" s="158"/>
      <c r="F5" s="159"/>
      <c r="G5" s="159"/>
      <c r="H5" s="159"/>
      <c r="I5" s="160"/>
      <c r="J5" s="158"/>
      <c r="K5" s="159"/>
      <c r="L5" s="159"/>
      <c r="M5" s="159"/>
      <c r="N5" s="159"/>
      <c r="O5" s="160"/>
      <c r="P5" s="158"/>
      <c r="Q5" s="159"/>
      <c r="R5" s="159"/>
      <c r="S5" s="159"/>
      <c r="T5" s="159"/>
      <c r="U5" s="159"/>
      <c r="V5" s="159"/>
      <c r="W5" s="159"/>
      <c r="X5" s="159"/>
      <c r="Y5" s="159"/>
      <c r="Z5" s="159"/>
      <c r="AA5" s="159"/>
      <c r="AB5" s="159"/>
      <c r="AC5" s="159"/>
      <c r="AD5" s="160"/>
      <c r="AE5" s="158"/>
      <c r="AF5" s="159"/>
      <c r="AG5" s="159"/>
      <c r="AH5" s="159"/>
      <c r="AI5" s="159"/>
      <c r="AJ5" s="159"/>
      <c r="AK5" s="159"/>
      <c r="AL5" s="159"/>
      <c r="AM5" s="159"/>
      <c r="AN5" s="159"/>
      <c r="AO5" s="159"/>
      <c r="AP5" s="159"/>
      <c r="AQ5" s="159"/>
      <c r="AR5" s="159"/>
      <c r="AS5" s="160"/>
      <c r="AT5" s="172" t="str">
        <f>IF($J$1="ENG","Total, UAH mln","Усього, млн грн")</f>
        <v>Total, UAH mln</v>
      </c>
      <c r="AU5" s="170" t="str">
        <f>IF($J$1="ENG","To cover with:","Покриття потреби (нестачі) у капіталі шляхом виконання:")</f>
        <v>To cover with:</v>
      </c>
      <c r="AV5" s="170"/>
      <c r="AW5" s="170"/>
      <c r="AX5" s="170"/>
    </row>
    <row r="6" spans="1:51" ht="40.950000000000003" customHeight="1" x14ac:dyDescent="0.25">
      <c r="A6" s="154"/>
      <c r="B6" s="167"/>
      <c r="C6" s="154"/>
      <c r="D6" s="154"/>
      <c r="E6" s="120" t="str">
        <f>IF($J$1="ENG","Core capital, UAH mln","ОК, млн грн")</f>
        <v>Core capital, UAH mln</v>
      </c>
      <c r="F6" s="120" t="str">
        <f>IF($J$1="ENG","Regulatory capital, UAH mln","РК, млн грн")</f>
        <v>Regulatory capital, UAH mln</v>
      </c>
      <c r="G6" s="120" t="str">
        <f>IF($J$1="ENG","CAR","Н2")</f>
        <v>CAR</v>
      </c>
      <c r="H6" s="120" t="str">
        <f>IF($J$1="ENG","Core capital ratio","Н3")</f>
        <v>Core capital ratio</v>
      </c>
      <c r="I6" s="91" t="s">
        <v>121</v>
      </c>
      <c r="J6" s="36" t="str">
        <f>IF($J$1="ENG","extrapolation","екстраполяція")</f>
        <v>extrapolation</v>
      </c>
      <c r="K6" s="120" t="str">
        <f>E6</f>
        <v>Core capital, UAH mln</v>
      </c>
      <c r="L6" s="130" t="str">
        <f t="shared" ref="L6:N6" si="0">F6</f>
        <v>Regulatory capital, UAH mln</v>
      </c>
      <c r="M6" s="130" t="str">
        <f t="shared" si="0"/>
        <v>CAR</v>
      </c>
      <c r="N6" s="130" t="str">
        <f t="shared" si="0"/>
        <v>Core capital ratio</v>
      </c>
      <c r="O6" s="91" t="s">
        <v>121</v>
      </c>
      <c r="P6" s="164" t="str">
        <f>E6</f>
        <v>Core capital, UAH mln</v>
      </c>
      <c r="Q6" s="165"/>
      <c r="R6" s="166"/>
      <c r="S6" s="164" t="str">
        <f>F6</f>
        <v>Regulatory capital, UAH mln</v>
      </c>
      <c r="T6" s="165"/>
      <c r="U6" s="166"/>
      <c r="V6" s="164" t="str">
        <f>M6</f>
        <v>CAR</v>
      </c>
      <c r="W6" s="165"/>
      <c r="X6" s="166"/>
      <c r="Y6" s="164" t="str">
        <f>H6</f>
        <v>Core capital ratio</v>
      </c>
      <c r="Z6" s="165"/>
      <c r="AA6" s="166"/>
      <c r="AB6" s="161" t="s">
        <v>121</v>
      </c>
      <c r="AC6" s="162"/>
      <c r="AD6" s="163"/>
      <c r="AE6" s="164" t="str">
        <f>P6</f>
        <v>Core capital, UAH mln</v>
      </c>
      <c r="AF6" s="165"/>
      <c r="AG6" s="166"/>
      <c r="AH6" s="164" t="str">
        <f>S6</f>
        <v>Regulatory capital, UAH mln</v>
      </c>
      <c r="AI6" s="165"/>
      <c r="AJ6" s="166"/>
      <c r="AK6" s="164" t="str">
        <f>V6</f>
        <v>CAR</v>
      </c>
      <c r="AL6" s="165"/>
      <c r="AM6" s="166"/>
      <c r="AN6" s="164" t="str">
        <f>Y6</f>
        <v>Core capital ratio</v>
      </c>
      <c r="AO6" s="165"/>
      <c r="AP6" s="166"/>
      <c r="AQ6" s="161" t="s">
        <v>121</v>
      </c>
      <c r="AR6" s="162"/>
      <c r="AS6" s="163"/>
      <c r="AT6" s="172"/>
      <c r="AU6" s="170" t="str">
        <f>IF($J$1="ENG","capitalization program till 01.04.2019","програми капіталізації до 01 квітня 2019 року")</f>
        <v>capitalization program till 01.04.2019</v>
      </c>
      <c r="AV6" s="170"/>
      <c r="AW6" s="170" t="str">
        <f>IF($J$1="ENG","restructuring plan till 31.12.2019","плану реструктуризації до 31 грудня 2019 року")</f>
        <v>restructuring plan till 31.12.2019</v>
      </c>
      <c r="AX6" s="170"/>
    </row>
    <row r="7" spans="1:51" ht="18" customHeight="1" x14ac:dyDescent="0.25">
      <c r="A7" s="154"/>
      <c r="B7" s="167"/>
      <c r="C7" s="154"/>
      <c r="D7" s="154"/>
      <c r="E7" s="155" t="str">
        <f>IF($J$1="ENG","reporting date 01.01.2018","звітний рік (на 01.01.2018)")</f>
        <v>reporting date 01.01.2018</v>
      </c>
      <c r="F7" s="156"/>
      <c r="G7" s="156"/>
      <c r="H7" s="156"/>
      <c r="I7" s="157"/>
      <c r="J7" s="155" t="str">
        <f>IF($J$1="ENG","reporting date 01.01.2018","звітний рік (на 01.01.2018)")</f>
        <v>reporting date 01.01.2018</v>
      </c>
      <c r="K7" s="156"/>
      <c r="L7" s="156"/>
      <c r="M7" s="156"/>
      <c r="N7" s="156"/>
      <c r="O7" s="157"/>
      <c r="P7" s="36" t="str">
        <f>IF($J$1="ENG","1st","1-й")</f>
        <v>1st</v>
      </c>
      <c r="Q7" s="36" t="str">
        <f>IF($J$1="ENG","2nd","2-й")</f>
        <v>2nd</v>
      </c>
      <c r="R7" s="36" t="str">
        <f>IF($J$1="ENG","3rd","3-й")</f>
        <v>3rd</v>
      </c>
      <c r="S7" s="120" t="str">
        <f>IF($J$1="ENG","1st","1-й")</f>
        <v>1st</v>
      </c>
      <c r="T7" s="120" t="str">
        <f>IF($J$1="ENG","2nd","2-й")</f>
        <v>2nd</v>
      </c>
      <c r="U7" s="120" t="str">
        <f>IF($J$1="ENG","3rd","3-й")</f>
        <v>3rd</v>
      </c>
      <c r="V7" s="120" t="str">
        <f>IF($J$1="ENG","1st","1-й")</f>
        <v>1st</v>
      </c>
      <c r="W7" s="120" t="str">
        <f>IF($J$1="ENG","2nd","2-й")</f>
        <v>2nd</v>
      </c>
      <c r="X7" s="120" t="str">
        <f>IF($J$1="ENG","3rd","3-й")</f>
        <v>3rd</v>
      </c>
      <c r="Y7" s="120" t="str">
        <f>IF($J$1="ENG","1st","1-й")</f>
        <v>1st</v>
      </c>
      <c r="Z7" s="120" t="str">
        <f>IF($J$1="ENG","2nd","2-й")</f>
        <v>2nd</v>
      </c>
      <c r="AA7" s="120" t="str">
        <f>IF($J$1="ENG","3rd","3-й")</f>
        <v>3rd</v>
      </c>
      <c r="AB7" s="36" t="s">
        <v>58</v>
      </c>
      <c r="AC7" s="36" t="s">
        <v>59</v>
      </c>
      <c r="AD7" s="36" t="s">
        <v>60</v>
      </c>
      <c r="AE7" s="120" t="str">
        <f>IF($J$1="ENG","1st","1-й")</f>
        <v>1st</v>
      </c>
      <c r="AF7" s="120" t="str">
        <f>IF($J$1="ENG","2nd","2-й")</f>
        <v>2nd</v>
      </c>
      <c r="AG7" s="120" t="str">
        <f>IF($J$1="ENG","3rd","3-й")</f>
        <v>3rd</v>
      </c>
      <c r="AH7" s="120" t="str">
        <f>IF($J$1="ENG","1st","1-й")</f>
        <v>1st</v>
      </c>
      <c r="AI7" s="120" t="str">
        <f>IF($J$1="ENG","2nd","2-й")</f>
        <v>2nd</v>
      </c>
      <c r="AJ7" s="120" t="str">
        <f>IF($J$1="ENG","3rd","3-й")</f>
        <v>3rd</v>
      </c>
      <c r="AK7" s="120" t="str">
        <f>IF($J$1="ENG","1st","1-й")</f>
        <v>1st</v>
      </c>
      <c r="AL7" s="120" t="str">
        <f>IF($J$1="ENG","2nd","2-й")</f>
        <v>2nd</v>
      </c>
      <c r="AM7" s="120" t="str">
        <f>IF($J$1="ENG","3rd","3-й")</f>
        <v>3rd</v>
      </c>
      <c r="AN7" s="120" t="str">
        <f>IF($J$1="ENG","1st","1-й")</f>
        <v>1st</v>
      </c>
      <c r="AO7" s="120" t="str">
        <f>IF($J$1="ENG","2nd","2-й")</f>
        <v>2nd</v>
      </c>
      <c r="AP7" s="120" t="str">
        <f>IF($J$1="ENG","3rd","3-й")</f>
        <v>3rd</v>
      </c>
      <c r="AQ7" s="36" t="s">
        <v>58</v>
      </c>
      <c r="AR7" s="36" t="s">
        <v>59</v>
      </c>
      <c r="AS7" s="36" t="s">
        <v>60</v>
      </c>
      <c r="AT7" s="172"/>
      <c r="AU7" s="168" t="str">
        <f>IF($J$1="ENG","total, UAH mln","усього, млн грн")</f>
        <v>total, UAH mln</v>
      </c>
      <c r="AV7" s="170" t="str">
        <f>IF($J$1="ENG","after measures taken by bank, UAH mln","з урахуванням здійснених банком заходів, млн грн")</f>
        <v>after measures taken by bank, UAH mln</v>
      </c>
      <c r="AW7" s="168" t="str">
        <f>IF($J$1="ENG","total, UAH mln","усього, млн грн")</f>
        <v>total, UAH mln</v>
      </c>
      <c r="AX7" s="170" t="str">
        <f>IF($J$1="ENG","after measures taken by bank, UAH mln","з урахуванням здійснених банком заходів, млн грн")</f>
        <v>after measures taken by bank, UAH mln</v>
      </c>
    </row>
    <row r="8" spans="1:51" ht="18.600000000000001" customHeight="1" x14ac:dyDescent="0.25">
      <c r="A8" s="154"/>
      <c r="B8" s="167"/>
      <c r="C8" s="154"/>
      <c r="D8" s="154"/>
      <c r="E8" s="158"/>
      <c r="F8" s="159"/>
      <c r="G8" s="159"/>
      <c r="H8" s="159"/>
      <c r="I8" s="160"/>
      <c r="J8" s="158"/>
      <c r="K8" s="159"/>
      <c r="L8" s="159"/>
      <c r="M8" s="159"/>
      <c r="N8" s="159"/>
      <c r="O8" s="160"/>
      <c r="P8" s="171" t="str">
        <f>IF($J$1="ENG","forecast year","прогнозний рік")</f>
        <v>forecast year</v>
      </c>
      <c r="Q8" s="171"/>
      <c r="R8" s="171"/>
      <c r="S8" s="171" t="str">
        <f>IF($J$1="ENG","forecast year","прогнозний рік")</f>
        <v>forecast year</v>
      </c>
      <c r="T8" s="171"/>
      <c r="U8" s="171"/>
      <c r="V8" s="171" t="str">
        <f>IF($J$1="ENG","forecast year","прогнозний рік")</f>
        <v>forecast year</v>
      </c>
      <c r="W8" s="171"/>
      <c r="X8" s="171"/>
      <c r="Y8" s="171" t="str">
        <f>IF($J$1="ENG","forecast year","прогнозний рік")</f>
        <v>forecast year</v>
      </c>
      <c r="Z8" s="171"/>
      <c r="AA8" s="171"/>
      <c r="AB8" s="171" t="s">
        <v>61</v>
      </c>
      <c r="AC8" s="171"/>
      <c r="AD8" s="171"/>
      <c r="AE8" s="171" t="str">
        <f>IF($J$1="ENG","forecast year","прогнозний рік")</f>
        <v>forecast year</v>
      </c>
      <c r="AF8" s="171"/>
      <c r="AG8" s="171"/>
      <c r="AH8" s="171" t="str">
        <f>IF($J$1="ENG","forecast year","прогнозний рік")</f>
        <v>forecast year</v>
      </c>
      <c r="AI8" s="171"/>
      <c r="AJ8" s="171"/>
      <c r="AK8" s="171" t="str">
        <f>IF($J$1="ENG","forecast year","прогнозний рік")</f>
        <v>forecast year</v>
      </c>
      <c r="AL8" s="171"/>
      <c r="AM8" s="171"/>
      <c r="AN8" s="171" t="str">
        <f>IF($J$1="ENG","forecast year","прогнозний рік")</f>
        <v>forecast year</v>
      </c>
      <c r="AO8" s="171"/>
      <c r="AP8" s="171"/>
      <c r="AQ8" s="171" t="s">
        <v>61</v>
      </c>
      <c r="AR8" s="171"/>
      <c r="AS8" s="171"/>
      <c r="AT8" s="172"/>
      <c r="AU8" s="169"/>
      <c r="AV8" s="170"/>
      <c r="AW8" s="169"/>
      <c r="AX8" s="170"/>
    </row>
    <row r="9" spans="1:51" x14ac:dyDescent="0.25">
      <c r="A9" s="37">
        <v>1</v>
      </c>
      <c r="B9" s="37">
        <v>2</v>
      </c>
      <c r="C9" s="37">
        <v>3</v>
      </c>
      <c r="D9" s="37">
        <v>4</v>
      </c>
      <c r="E9" s="37">
        <v>5</v>
      </c>
      <c r="F9" s="37">
        <v>6</v>
      </c>
      <c r="G9" s="37">
        <v>7</v>
      </c>
      <c r="H9" s="37">
        <v>8</v>
      </c>
      <c r="I9" s="37">
        <v>9</v>
      </c>
      <c r="J9" s="37">
        <v>10</v>
      </c>
      <c r="K9" s="37">
        <v>11</v>
      </c>
      <c r="L9" s="37">
        <v>12</v>
      </c>
      <c r="M9" s="37">
        <v>13</v>
      </c>
      <c r="N9" s="37">
        <v>14</v>
      </c>
      <c r="O9" s="37">
        <v>15</v>
      </c>
      <c r="P9" s="37">
        <v>16</v>
      </c>
      <c r="Q9" s="37">
        <v>17</v>
      </c>
      <c r="R9" s="37">
        <v>18</v>
      </c>
      <c r="S9" s="37">
        <v>19</v>
      </c>
      <c r="T9" s="37">
        <v>20</v>
      </c>
      <c r="U9" s="37">
        <v>21</v>
      </c>
      <c r="V9" s="37">
        <v>22</v>
      </c>
      <c r="W9" s="37">
        <v>23</v>
      </c>
      <c r="X9" s="37">
        <v>24</v>
      </c>
      <c r="Y9" s="37">
        <v>25</v>
      </c>
      <c r="Z9" s="37">
        <v>26</v>
      </c>
      <c r="AA9" s="37">
        <v>27</v>
      </c>
      <c r="AB9" s="37">
        <v>28</v>
      </c>
      <c r="AC9" s="37">
        <v>29</v>
      </c>
      <c r="AD9" s="37">
        <v>30</v>
      </c>
      <c r="AE9" s="37">
        <v>31</v>
      </c>
      <c r="AF9" s="37">
        <v>32</v>
      </c>
      <c r="AG9" s="37">
        <v>33</v>
      </c>
      <c r="AH9" s="37">
        <v>34</v>
      </c>
      <c r="AI9" s="37">
        <v>35</v>
      </c>
      <c r="AJ9" s="37">
        <v>36</v>
      </c>
      <c r="AK9" s="37">
        <v>37</v>
      </c>
      <c r="AL9" s="37">
        <v>38</v>
      </c>
      <c r="AM9" s="37">
        <v>39</v>
      </c>
      <c r="AN9" s="37">
        <v>40</v>
      </c>
      <c r="AO9" s="37">
        <v>41</v>
      </c>
      <c r="AP9" s="37">
        <v>42</v>
      </c>
      <c r="AQ9" s="37">
        <v>43</v>
      </c>
      <c r="AR9" s="37">
        <v>44</v>
      </c>
      <c r="AS9" s="37">
        <v>45</v>
      </c>
      <c r="AT9" s="37">
        <v>46</v>
      </c>
      <c r="AU9" s="37">
        <v>47</v>
      </c>
      <c r="AV9" s="37">
        <v>48</v>
      </c>
      <c r="AW9" s="37">
        <v>49</v>
      </c>
      <c r="AX9" s="37">
        <v>50</v>
      </c>
    </row>
    <row r="10" spans="1:51" x14ac:dyDescent="0.25">
      <c r="A10" s="31">
        <v>1</v>
      </c>
      <c r="B10" s="86">
        <v>96</v>
      </c>
      <c r="C10" s="86" t="str">
        <f>IF($J$1="ENG","A-Bank","А - Банк")</f>
        <v>A-Bank</v>
      </c>
      <c r="D10" s="31" t="str">
        <f>IF($J$1="ENG","Private banks","Банки з приватним капіталом")</f>
        <v>Private banks</v>
      </c>
      <c r="E10" s="32">
        <v>356.16699999999997</v>
      </c>
      <c r="F10" s="32">
        <v>453.94</v>
      </c>
      <c r="G10" s="81">
        <v>0.13569999999999999</v>
      </c>
      <c r="H10" s="81">
        <v>0.1065</v>
      </c>
      <c r="I10" s="32">
        <f t="shared" ref="I10:I33" si="1">E10/H10</f>
        <v>3344.2910798122066</v>
      </c>
      <c r="J10" s="37" t="str">
        <f t="shared" ref="J10:J33" si="2">IF($J$1="ENG","no","ні")</f>
        <v>no</v>
      </c>
      <c r="K10" s="32">
        <v>307.71199999999999</v>
      </c>
      <c r="L10" s="32">
        <v>349.04899999999998</v>
      </c>
      <c r="M10" s="81">
        <v>0.1033</v>
      </c>
      <c r="N10" s="81">
        <v>9.11E-2</v>
      </c>
      <c r="O10" s="32">
        <f t="shared" ref="O10:O33" si="3">K10/N10</f>
        <v>3377.7387486278813</v>
      </c>
      <c r="P10" s="32">
        <v>1045.701</v>
      </c>
      <c r="Q10" s="32">
        <v>1672.575</v>
      </c>
      <c r="R10" s="32">
        <v>2295.0450000000001</v>
      </c>
      <c r="S10" s="32">
        <v>1047.452</v>
      </c>
      <c r="T10" s="32">
        <v>1674.326</v>
      </c>
      <c r="U10" s="32">
        <v>2296.7959999999998</v>
      </c>
      <c r="V10" s="81">
        <v>0.27939999999999998</v>
      </c>
      <c r="W10" s="81">
        <v>0.44209999999999999</v>
      </c>
      <c r="X10" s="81">
        <v>0.60719999999999996</v>
      </c>
      <c r="Y10" s="81">
        <v>0.27889999999999998</v>
      </c>
      <c r="Z10" s="81">
        <v>0.44169999999999998</v>
      </c>
      <c r="AA10" s="81">
        <v>0.60680000000000001</v>
      </c>
      <c r="AB10" s="32">
        <f t="shared" ref="AB10:AB33" si="4">P10/Y10</f>
        <v>3749.3761204732882</v>
      </c>
      <c r="AC10" s="32">
        <f t="shared" ref="AC10:AC33" si="5">Q10/Z10</f>
        <v>3786.6764772470005</v>
      </c>
      <c r="AD10" s="32">
        <f t="shared" ref="AD10:AD33" si="6">R10/AA10</f>
        <v>3782.2099538562952</v>
      </c>
      <c r="AE10" s="32">
        <v>733.91899999999998</v>
      </c>
      <c r="AF10" s="32">
        <v>1096.8150000000001</v>
      </c>
      <c r="AG10" s="32">
        <v>1656.768</v>
      </c>
      <c r="AH10" s="32">
        <v>735.69100000000003</v>
      </c>
      <c r="AI10" s="32">
        <v>1098.587</v>
      </c>
      <c r="AJ10" s="32">
        <v>1658.54</v>
      </c>
      <c r="AK10" s="81">
        <v>0.20530000000000001</v>
      </c>
      <c r="AL10" s="81">
        <v>0.30890000000000001</v>
      </c>
      <c r="AM10" s="81">
        <v>0.44929999999999998</v>
      </c>
      <c r="AN10" s="81">
        <v>0.20480000000000001</v>
      </c>
      <c r="AO10" s="81">
        <v>0.30840000000000001</v>
      </c>
      <c r="AP10" s="81">
        <v>0.44890000000000002</v>
      </c>
      <c r="AQ10" s="32">
        <f t="shared" ref="AQ10:AQ33" si="7">AE10/AN10</f>
        <v>3583.5888671874995</v>
      </c>
      <c r="AR10" s="32">
        <f t="shared" ref="AR10:AR33" si="8">AF10/AO10</f>
        <v>3556.4688715953307</v>
      </c>
      <c r="AS10" s="32">
        <f t="shared" ref="AS10:AS33" si="9">AG10/AP10</f>
        <v>3690.7284473156606</v>
      </c>
      <c r="AT10" s="32">
        <v>0</v>
      </c>
      <c r="AU10" s="32">
        <v>0</v>
      </c>
      <c r="AV10" s="82">
        <v>0</v>
      </c>
      <c r="AW10" s="32">
        <v>0</v>
      </c>
      <c r="AX10" s="31">
        <v>0</v>
      </c>
      <c r="AY10" s="85"/>
    </row>
    <row r="11" spans="1:51" x14ac:dyDescent="0.25">
      <c r="A11" s="31">
        <v>2</v>
      </c>
      <c r="B11" s="86">
        <v>272</v>
      </c>
      <c r="C11" s="86" t="str">
        <f>IF($J$1="ENG","Alfa-Bank","Альфа-Банк")</f>
        <v>Alfa-Bank</v>
      </c>
      <c r="D11" s="31" t="str">
        <f>IF($J$1="ENG","Foreign banks","Банки іноземних банківських груп")</f>
        <v>Foreign banks</v>
      </c>
      <c r="E11" s="32">
        <v>2724.54</v>
      </c>
      <c r="F11" s="32">
        <v>4269.076</v>
      </c>
      <c r="G11" s="81">
        <v>0.1055</v>
      </c>
      <c r="H11" s="81">
        <v>6.7299999999999999E-2</v>
      </c>
      <c r="I11" s="32">
        <f t="shared" si="1"/>
        <v>40483.506686478453</v>
      </c>
      <c r="J11" s="121" t="str">
        <f t="shared" si="2"/>
        <v>no</v>
      </c>
      <c r="K11" s="32">
        <v>2438.9859999999999</v>
      </c>
      <c r="L11" s="32">
        <v>3935.027</v>
      </c>
      <c r="M11" s="81">
        <v>9.7500000000000003E-2</v>
      </c>
      <c r="N11" s="81">
        <v>6.0400000000000002E-2</v>
      </c>
      <c r="O11" s="32">
        <f t="shared" si="3"/>
        <v>40380.562913907284</v>
      </c>
      <c r="P11" s="32">
        <v>2448.2539999999999</v>
      </c>
      <c r="Q11" s="32">
        <v>3393.489</v>
      </c>
      <c r="R11" s="32">
        <v>4917.6490000000003</v>
      </c>
      <c r="S11" s="32">
        <v>3969.2660000000001</v>
      </c>
      <c r="T11" s="32">
        <v>4944.4650000000001</v>
      </c>
      <c r="U11" s="32">
        <v>6188.9520000000002</v>
      </c>
      <c r="V11" s="81">
        <v>0.1061</v>
      </c>
      <c r="W11" s="81">
        <v>0.1326</v>
      </c>
      <c r="X11" s="81">
        <v>0.1648</v>
      </c>
      <c r="Y11" s="81">
        <v>6.5500000000000003E-2</v>
      </c>
      <c r="Z11" s="81">
        <v>9.0999999999999998E-2</v>
      </c>
      <c r="AA11" s="81">
        <v>0.13100000000000001</v>
      </c>
      <c r="AB11" s="32">
        <f t="shared" si="4"/>
        <v>37377.923664122136</v>
      </c>
      <c r="AC11" s="32">
        <f t="shared" si="5"/>
        <v>37291.087912087911</v>
      </c>
      <c r="AD11" s="32">
        <f t="shared" si="6"/>
        <v>37539.305343511449</v>
      </c>
      <c r="AE11" s="32">
        <v>-880.85</v>
      </c>
      <c r="AF11" s="32">
        <v>-1191.8820000000001</v>
      </c>
      <c r="AG11" s="32">
        <v>-103.42100000000001</v>
      </c>
      <c r="AH11" s="32">
        <v>-881.18</v>
      </c>
      <c r="AI11" s="32">
        <v>-1192.212</v>
      </c>
      <c r="AJ11" s="32">
        <v>-103.751</v>
      </c>
      <c r="AK11" s="81">
        <v>-2.24E-2</v>
      </c>
      <c r="AL11" s="81">
        <v>-3.0200000000000001E-2</v>
      </c>
      <c r="AM11" s="81">
        <v>-2.5999999999999999E-3</v>
      </c>
      <c r="AN11" s="81">
        <v>-2.24E-2</v>
      </c>
      <c r="AO11" s="81">
        <v>-3.0200000000000001E-2</v>
      </c>
      <c r="AP11" s="81">
        <v>-2.5999999999999999E-3</v>
      </c>
      <c r="AQ11" s="32">
        <f t="shared" si="7"/>
        <v>39323.660714285717</v>
      </c>
      <c r="AR11" s="32">
        <f t="shared" si="8"/>
        <v>39466.291390728475</v>
      </c>
      <c r="AS11" s="32">
        <f t="shared" si="9"/>
        <v>39777.307692307695</v>
      </c>
      <c r="AT11" s="32">
        <v>2697.49</v>
      </c>
      <c r="AU11" s="32">
        <v>387.10300000000001</v>
      </c>
      <c r="AV11" s="31">
        <v>0</v>
      </c>
      <c r="AW11" s="32">
        <v>2697.49</v>
      </c>
      <c r="AX11" s="32">
        <v>1050.518</v>
      </c>
      <c r="AY11" s="85"/>
    </row>
    <row r="12" spans="1:51" x14ac:dyDescent="0.25">
      <c r="A12" s="31">
        <v>4</v>
      </c>
      <c r="B12" s="86">
        <v>320</v>
      </c>
      <c r="C12" s="86" t="str">
        <f>IF($J$1="ENG","Bank for Investments and Savings","Банк Інвестицій та заощаджень")</f>
        <v>Bank for Investments and Savings</v>
      </c>
      <c r="D12" s="31" t="str">
        <f>IF($J$1="ENG","Private banks","Банки з приватним капіталом")</f>
        <v>Private banks</v>
      </c>
      <c r="E12" s="32">
        <v>531.06399999999996</v>
      </c>
      <c r="F12" s="32">
        <v>560.28300000000002</v>
      </c>
      <c r="G12" s="81">
        <v>0.18970000000000001</v>
      </c>
      <c r="H12" s="81">
        <v>0.17979999999999999</v>
      </c>
      <c r="I12" s="32">
        <f t="shared" si="1"/>
        <v>2953.6373748609567</v>
      </c>
      <c r="J12" s="121" t="str">
        <f t="shared" si="2"/>
        <v>no</v>
      </c>
      <c r="K12" s="32">
        <v>-91.677000000000007</v>
      </c>
      <c r="L12" s="32">
        <v>-91.677000000000007</v>
      </c>
      <c r="M12" s="81">
        <v>-3.9600000000000003E-2</v>
      </c>
      <c r="N12" s="81">
        <v>-3.9600000000000003E-2</v>
      </c>
      <c r="O12" s="32">
        <f t="shared" si="3"/>
        <v>2315.0757575757575</v>
      </c>
      <c r="P12" s="32">
        <v>-126.639</v>
      </c>
      <c r="Q12" s="32">
        <v>-144.042</v>
      </c>
      <c r="R12" s="32">
        <v>-111.711</v>
      </c>
      <c r="S12" s="32">
        <v>-126.639</v>
      </c>
      <c r="T12" s="32">
        <v>-144.042</v>
      </c>
      <c r="U12" s="32">
        <v>-111.711</v>
      </c>
      <c r="V12" s="81">
        <v>-5.8099999999999999E-2</v>
      </c>
      <c r="W12" s="81">
        <v>-6.6799999999999998E-2</v>
      </c>
      <c r="X12" s="81">
        <v>-5.1200000000000002E-2</v>
      </c>
      <c r="Y12" s="81">
        <v>-5.8099999999999999E-2</v>
      </c>
      <c r="Z12" s="81">
        <v>-6.6799999999999998E-2</v>
      </c>
      <c r="AA12" s="81">
        <v>-5.1200000000000002E-2</v>
      </c>
      <c r="AB12" s="32">
        <f t="shared" si="4"/>
        <v>2179.6729776247848</v>
      </c>
      <c r="AC12" s="32">
        <f t="shared" si="5"/>
        <v>2156.3173652694613</v>
      </c>
      <c r="AD12" s="32">
        <f t="shared" si="6"/>
        <v>2181.85546875</v>
      </c>
      <c r="AE12" s="32">
        <v>-696.46100000000001</v>
      </c>
      <c r="AF12" s="32">
        <v>-854.63400000000001</v>
      </c>
      <c r="AG12" s="32">
        <v>-942.58100000000002</v>
      </c>
      <c r="AH12" s="32">
        <v>-696.46100000000001</v>
      </c>
      <c r="AI12" s="32">
        <v>-854.63400000000001</v>
      </c>
      <c r="AJ12" s="32">
        <v>-942.58100000000002</v>
      </c>
      <c r="AK12" s="81">
        <v>-0.3352</v>
      </c>
      <c r="AL12" s="81">
        <v>-0.4118</v>
      </c>
      <c r="AM12" s="81">
        <v>-0.45789999999999997</v>
      </c>
      <c r="AN12" s="81">
        <v>-0.3352</v>
      </c>
      <c r="AO12" s="81">
        <v>-0.4118</v>
      </c>
      <c r="AP12" s="81">
        <v>-0.45789999999999997</v>
      </c>
      <c r="AQ12" s="32">
        <f t="shared" si="7"/>
        <v>2077.7476133651553</v>
      </c>
      <c r="AR12" s="32">
        <f t="shared" si="8"/>
        <v>2075.361826129189</v>
      </c>
      <c r="AS12" s="32">
        <f t="shared" si="9"/>
        <v>2058.4865691198952</v>
      </c>
      <c r="AT12" s="32">
        <v>1045.508</v>
      </c>
      <c r="AU12" s="32">
        <v>344.77499999999998</v>
      </c>
      <c r="AV12" s="32">
        <v>0</v>
      </c>
      <c r="AW12" s="32">
        <v>1045.508</v>
      </c>
      <c r="AX12" s="32">
        <v>1045.508</v>
      </c>
      <c r="AY12" s="85"/>
    </row>
    <row r="13" spans="1:51" x14ac:dyDescent="0.25">
      <c r="A13" s="31">
        <v>3</v>
      </c>
      <c r="B13" s="86">
        <v>305</v>
      </c>
      <c r="C13" s="86" t="str">
        <f>IF($J$1="ENG","Vostok","Восток")</f>
        <v>Vostok</v>
      </c>
      <c r="D13" s="31" t="str">
        <f>IF($J$1="ENG","Private banks","Банки з приватним капіталом")</f>
        <v>Private banks</v>
      </c>
      <c r="E13" s="32">
        <v>447.65699999999998</v>
      </c>
      <c r="F13" s="32">
        <v>659.61800000000005</v>
      </c>
      <c r="G13" s="81">
        <v>0.124</v>
      </c>
      <c r="H13" s="81">
        <v>8.4199999999999997E-2</v>
      </c>
      <c r="I13" s="32">
        <f t="shared" si="1"/>
        <v>5316.5914489311162</v>
      </c>
      <c r="J13" s="121" t="str">
        <f t="shared" si="2"/>
        <v>no</v>
      </c>
      <c r="K13" s="32">
        <v>447.65699999999998</v>
      </c>
      <c r="L13" s="32">
        <v>615.74599999999998</v>
      </c>
      <c r="M13" s="81">
        <v>0.1164</v>
      </c>
      <c r="N13" s="81">
        <v>8.4699999999999998E-2</v>
      </c>
      <c r="O13" s="32">
        <f t="shared" si="3"/>
        <v>5285.2066115702482</v>
      </c>
      <c r="P13" s="32">
        <v>496.08100000000002</v>
      </c>
      <c r="Q13" s="32">
        <v>540.49599999999998</v>
      </c>
      <c r="R13" s="32">
        <v>591.69200000000001</v>
      </c>
      <c r="S13" s="32">
        <v>561.9</v>
      </c>
      <c r="T13" s="32">
        <v>600.51300000000003</v>
      </c>
      <c r="U13" s="32">
        <v>652.30799999999999</v>
      </c>
      <c r="V13" s="81">
        <v>0.10780000000000001</v>
      </c>
      <c r="W13" s="81">
        <v>0.114</v>
      </c>
      <c r="X13" s="81">
        <v>0.1232</v>
      </c>
      <c r="Y13" s="81">
        <v>9.5100000000000004E-2</v>
      </c>
      <c r="Z13" s="81">
        <v>0.1026</v>
      </c>
      <c r="AA13" s="81">
        <v>0.1118</v>
      </c>
      <c r="AB13" s="32">
        <f t="shared" si="4"/>
        <v>5216.4143007360672</v>
      </c>
      <c r="AC13" s="32">
        <f t="shared" si="5"/>
        <v>5267.9922027290449</v>
      </c>
      <c r="AD13" s="32">
        <f t="shared" si="6"/>
        <v>5292.4150268336316</v>
      </c>
      <c r="AE13" s="32">
        <v>160.97</v>
      </c>
      <c r="AF13" s="32">
        <v>26.529</v>
      </c>
      <c r="AG13" s="32">
        <v>-43.241999999999997</v>
      </c>
      <c r="AH13" s="32">
        <v>243.96899999999999</v>
      </c>
      <c r="AI13" s="32">
        <v>53.058</v>
      </c>
      <c r="AJ13" s="32">
        <v>-43.241999999999997</v>
      </c>
      <c r="AK13" s="81">
        <v>4.2200000000000001E-2</v>
      </c>
      <c r="AL13" s="81">
        <v>8.8999999999999999E-3</v>
      </c>
      <c r="AM13" s="81">
        <v>-7.1000000000000004E-3</v>
      </c>
      <c r="AN13" s="81">
        <v>2.7799999999999998E-2</v>
      </c>
      <c r="AO13" s="81">
        <v>4.4999999999999997E-3</v>
      </c>
      <c r="AP13" s="81">
        <v>-7.1000000000000004E-3</v>
      </c>
      <c r="AQ13" s="32">
        <f t="shared" si="7"/>
        <v>5790.2877697841732</v>
      </c>
      <c r="AR13" s="32">
        <f t="shared" si="8"/>
        <v>5895.3333333333339</v>
      </c>
      <c r="AS13" s="32">
        <f t="shared" si="9"/>
        <v>6090.4225352112671</v>
      </c>
      <c r="AT13" s="32">
        <v>294.09100000000001</v>
      </c>
      <c r="AU13" s="32">
        <v>0</v>
      </c>
      <c r="AV13" s="31">
        <v>0</v>
      </c>
      <c r="AW13" s="32">
        <v>294.09100000000001</v>
      </c>
      <c r="AX13" s="31">
        <v>0</v>
      </c>
      <c r="AY13" s="85"/>
    </row>
    <row r="14" spans="1:51" x14ac:dyDescent="0.25">
      <c r="A14" s="31"/>
      <c r="B14" s="86">
        <v>42</v>
      </c>
      <c r="C14" s="86" t="str">
        <f>IF($J$1="ENG","VTB","ВТБ")</f>
        <v>VTB</v>
      </c>
      <c r="D14" s="31" t="str">
        <f>IF($J$1="ENG","Banks owned by Russia","Банки з державним російським капіталом")</f>
        <v>Banks owned by Russia</v>
      </c>
      <c r="E14" s="32">
        <v>995.14599999999996</v>
      </c>
      <c r="F14" s="32">
        <v>1057.316</v>
      </c>
      <c r="G14" s="81">
        <v>8.2900000000000001E-2</v>
      </c>
      <c r="H14" s="81">
        <v>7.8E-2</v>
      </c>
      <c r="I14" s="32">
        <f t="shared" si="1"/>
        <v>12758.282051282051</v>
      </c>
      <c r="J14" s="121" t="str">
        <f t="shared" si="2"/>
        <v>no</v>
      </c>
      <c r="K14" s="32">
        <v>-1447.4559999999999</v>
      </c>
      <c r="L14" s="32">
        <v>-1447.4559999999999</v>
      </c>
      <c r="M14" s="81">
        <v>-0.1489</v>
      </c>
      <c r="N14" s="81">
        <v>-0.1489</v>
      </c>
      <c r="O14" s="32">
        <f t="shared" si="3"/>
        <v>9720.9939556749487</v>
      </c>
      <c r="P14" s="32">
        <v>-2533.0010000000002</v>
      </c>
      <c r="Q14" s="32">
        <v>-3505.886</v>
      </c>
      <c r="R14" s="32">
        <v>-4427.3959999999997</v>
      </c>
      <c r="S14" s="32">
        <v>-2533.0010000000002</v>
      </c>
      <c r="T14" s="32">
        <v>-3505.886</v>
      </c>
      <c r="U14" s="32">
        <v>-4427.3959999999997</v>
      </c>
      <c r="V14" s="81">
        <v>-0.32719999999999999</v>
      </c>
      <c r="W14" s="81">
        <v>-0.46500000000000002</v>
      </c>
      <c r="X14" s="81">
        <v>-0.59379999999999999</v>
      </c>
      <c r="Y14" s="81">
        <v>-0.32719999999999999</v>
      </c>
      <c r="Z14" s="81">
        <v>-0.46500000000000002</v>
      </c>
      <c r="AA14" s="81">
        <v>-0.59379999999999999</v>
      </c>
      <c r="AB14" s="32">
        <f t="shared" si="4"/>
        <v>7741.4455990220058</v>
      </c>
      <c r="AC14" s="32">
        <f t="shared" si="5"/>
        <v>7539.5397849462361</v>
      </c>
      <c r="AD14" s="32">
        <f t="shared" si="6"/>
        <v>7456.039070394072</v>
      </c>
      <c r="AE14" s="32">
        <v>-4243.3689999999997</v>
      </c>
      <c r="AF14" s="32">
        <v>-5880.393</v>
      </c>
      <c r="AG14" s="32">
        <v>-7332.8630000000003</v>
      </c>
      <c r="AH14" s="32">
        <v>-4243.3689999999997</v>
      </c>
      <c r="AI14" s="32">
        <v>-5880.393</v>
      </c>
      <c r="AJ14" s="32">
        <v>-7332.8630000000003</v>
      </c>
      <c r="AK14" s="81">
        <v>-0.93440000000000001</v>
      </c>
      <c r="AL14" s="81">
        <v>-1.6318999999999999</v>
      </c>
      <c r="AM14" s="81">
        <v>-2.5518000000000001</v>
      </c>
      <c r="AN14" s="81">
        <v>-0.93440000000000001</v>
      </c>
      <c r="AO14" s="81">
        <v>-1.6318999999999999</v>
      </c>
      <c r="AP14" s="81">
        <v>-2.5518000000000001</v>
      </c>
      <c r="AQ14" s="32">
        <f t="shared" si="7"/>
        <v>4541.2767551369861</v>
      </c>
      <c r="AR14" s="32">
        <f t="shared" si="8"/>
        <v>3603.402782033213</v>
      </c>
      <c r="AS14" s="32">
        <f t="shared" si="9"/>
        <v>2873.6041225801396</v>
      </c>
      <c r="AT14" s="32">
        <v>7451.4</v>
      </c>
      <c r="AU14" s="32">
        <v>3282.7330000000002</v>
      </c>
      <c r="AV14" s="113" t="str">
        <f>IF($J$1="ENG","insolvent","неплатоспроможний")</f>
        <v>insolvent</v>
      </c>
      <c r="AW14" s="32">
        <v>7451.4</v>
      </c>
      <c r="AX14" s="113" t="str">
        <f>IF($J$1="ENG","insolvent","неплатоспроможний")</f>
        <v>insolvent</v>
      </c>
      <c r="AY14" s="85"/>
    </row>
    <row r="15" spans="1:51" x14ac:dyDescent="0.25">
      <c r="A15" s="31">
        <v>7</v>
      </c>
      <c r="B15" s="86">
        <v>142</v>
      </c>
      <c r="C15" s="86" t="str">
        <f>IF($J$1="ENG","Idea Bank","Ідея Банк")</f>
        <v>Idea Bank</v>
      </c>
      <c r="D15" s="31" t="str">
        <f>IF($J$1="ENG","Foreign banks","Банки іноземних банківських груп")</f>
        <v>Foreign banks</v>
      </c>
      <c r="E15" s="32">
        <v>218.214</v>
      </c>
      <c r="F15" s="32">
        <v>436.42700000000002</v>
      </c>
      <c r="G15" s="81">
        <v>0.15409999999999999</v>
      </c>
      <c r="H15" s="81">
        <v>7.7100000000000002E-2</v>
      </c>
      <c r="I15" s="32">
        <f t="shared" si="1"/>
        <v>2830.2723735408558</v>
      </c>
      <c r="J15" s="121" t="str">
        <f t="shared" si="2"/>
        <v>no</v>
      </c>
      <c r="K15" s="32">
        <v>218.214</v>
      </c>
      <c r="L15" s="32">
        <v>436.42700000000002</v>
      </c>
      <c r="M15" s="81">
        <v>0.15210000000000001</v>
      </c>
      <c r="N15" s="81">
        <v>7.5999999999999998E-2</v>
      </c>
      <c r="O15" s="32">
        <f t="shared" si="3"/>
        <v>2871.2368421052633</v>
      </c>
      <c r="P15" s="32">
        <v>899.12800000000004</v>
      </c>
      <c r="Q15" s="32">
        <v>1467.9639999999999</v>
      </c>
      <c r="R15" s="32">
        <v>2060.5659999999998</v>
      </c>
      <c r="S15" s="32">
        <v>995.55200000000002</v>
      </c>
      <c r="T15" s="32">
        <v>1548.8620000000001</v>
      </c>
      <c r="U15" s="32">
        <v>2124.8960000000002</v>
      </c>
      <c r="V15" s="81">
        <v>0.3473</v>
      </c>
      <c r="W15" s="81">
        <v>0.54010000000000002</v>
      </c>
      <c r="X15" s="81">
        <v>0.74080000000000001</v>
      </c>
      <c r="Y15" s="81">
        <v>0.31359999999999999</v>
      </c>
      <c r="Z15" s="81">
        <v>0.51190000000000002</v>
      </c>
      <c r="AA15" s="81">
        <v>0.71840000000000004</v>
      </c>
      <c r="AB15" s="32">
        <f t="shared" si="4"/>
        <v>2867.1173469387759</v>
      </c>
      <c r="AC15" s="32">
        <f t="shared" si="5"/>
        <v>2867.67728071889</v>
      </c>
      <c r="AD15" s="32">
        <f t="shared" si="6"/>
        <v>2868.2711581291755</v>
      </c>
      <c r="AE15" s="32">
        <v>813.85799999999995</v>
      </c>
      <c r="AF15" s="32">
        <v>1220.058</v>
      </c>
      <c r="AG15" s="32">
        <v>1743.3440000000001</v>
      </c>
      <c r="AH15" s="32">
        <v>931.04200000000003</v>
      </c>
      <c r="AI15" s="32">
        <v>1320.384</v>
      </c>
      <c r="AJ15" s="32">
        <v>1822.9880000000001</v>
      </c>
      <c r="AK15" s="81">
        <v>0.32450000000000001</v>
      </c>
      <c r="AL15" s="81">
        <v>0.46529999999999999</v>
      </c>
      <c r="AM15" s="81">
        <v>0.63090000000000002</v>
      </c>
      <c r="AN15" s="81">
        <v>0.28360000000000002</v>
      </c>
      <c r="AO15" s="81">
        <v>0.43</v>
      </c>
      <c r="AP15" s="81">
        <v>0.60340000000000005</v>
      </c>
      <c r="AQ15" s="32">
        <f t="shared" si="7"/>
        <v>2869.7390691114242</v>
      </c>
      <c r="AR15" s="32">
        <f t="shared" si="8"/>
        <v>2837.3441860465118</v>
      </c>
      <c r="AS15" s="32">
        <f t="shared" si="9"/>
        <v>2889.2011932383161</v>
      </c>
      <c r="AT15" s="32">
        <v>0</v>
      </c>
      <c r="AU15" s="32">
        <v>0</v>
      </c>
      <c r="AV15" s="82">
        <v>0</v>
      </c>
      <c r="AW15" s="32">
        <v>0</v>
      </c>
      <c r="AX15" s="31">
        <v>0</v>
      </c>
      <c r="AY15" s="85"/>
    </row>
    <row r="16" spans="1:51" x14ac:dyDescent="0.25">
      <c r="A16" s="31">
        <v>5</v>
      </c>
      <c r="B16" s="86">
        <v>270</v>
      </c>
      <c r="C16" s="86" t="str">
        <f>IF($J$1="ENG","Kredyt Dnipro","Кредит Дніпро")</f>
        <v>Kredyt Dnipro</v>
      </c>
      <c r="D16" s="31" t="str">
        <f>IF($J$1="ENG","Private banks","Банки з приватним капіталом")</f>
        <v>Private banks</v>
      </c>
      <c r="E16" s="32">
        <v>802.02</v>
      </c>
      <c r="F16" s="32">
        <v>897.67399999999998</v>
      </c>
      <c r="G16" s="81">
        <v>0.12759999999999999</v>
      </c>
      <c r="H16" s="81">
        <v>0.114</v>
      </c>
      <c r="I16" s="32">
        <f t="shared" si="1"/>
        <v>7035.2631578947367</v>
      </c>
      <c r="J16" s="121" t="str">
        <f t="shared" si="2"/>
        <v>no</v>
      </c>
      <c r="K16" s="32">
        <v>639.95699999999999</v>
      </c>
      <c r="L16" s="32">
        <v>735.61</v>
      </c>
      <c r="M16" s="81">
        <v>0.10730000000000001</v>
      </c>
      <c r="N16" s="81">
        <v>9.3399999999999997E-2</v>
      </c>
      <c r="O16" s="32">
        <f t="shared" si="3"/>
        <v>6851.7880085653105</v>
      </c>
      <c r="P16" s="32">
        <v>-271.10700000000003</v>
      </c>
      <c r="Q16" s="32">
        <v>-646.38400000000001</v>
      </c>
      <c r="R16" s="32">
        <v>-990.76400000000001</v>
      </c>
      <c r="S16" s="32">
        <v>-271.43700000000001</v>
      </c>
      <c r="T16" s="32">
        <v>-646.71400000000006</v>
      </c>
      <c r="U16" s="32">
        <v>-991.09400000000005</v>
      </c>
      <c r="V16" s="81">
        <v>-4.82E-2</v>
      </c>
      <c r="W16" s="81">
        <v>-0.11459999999999999</v>
      </c>
      <c r="X16" s="81">
        <v>-0.17560000000000001</v>
      </c>
      <c r="Y16" s="81">
        <v>-4.8099999999999997E-2</v>
      </c>
      <c r="Z16" s="81">
        <v>-0.11459999999999999</v>
      </c>
      <c r="AA16" s="81">
        <v>-0.17549999999999999</v>
      </c>
      <c r="AB16" s="32">
        <f t="shared" si="4"/>
        <v>5636.3201663201671</v>
      </c>
      <c r="AC16" s="32">
        <f t="shared" si="5"/>
        <v>5640.3490401396166</v>
      </c>
      <c r="AD16" s="32">
        <f t="shared" si="6"/>
        <v>5645.3789173789182</v>
      </c>
      <c r="AE16" s="32">
        <v>-1225.867</v>
      </c>
      <c r="AF16" s="32">
        <v>-1978.3610000000001</v>
      </c>
      <c r="AG16" s="32">
        <v>-2620.6550000000002</v>
      </c>
      <c r="AH16" s="32">
        <v>-1226.1969999999999</v>
      </c>
      <c r="AI16" s="32">
        <v>-1978.691</v>
      </c>
      <c r="AJ16" s="32">
        <v>-2620.9850000000001</v>
      </c>
      <c r="AK16" s="81">
        <v>-0.22270000000000001</v>
      </c>
      <c r="AL16" s="81">
        <v>-0.36080000000000001</v>
      </c>
      <c r="AM16" s="81">
        <v>-0.47949999999999998</v>
      </c>
      <c r="AN16" s="81">
        <v>-0.22259999999999999</v>
      </c>
      <c r="AO16" s="81">
        <v>-0.36070000000000002</v>
      </c>
      <c r="AP16" s="81">
        <v>-0.47939999999999999</v>
      </c>
      <c r="AQ16" s="32">
        <f t="shared" si="7"/>
        <v>5507.0395327942497</v>
      </c>
      <c r="AR16" s="32">
        <f t="shared" si="8"/>
        <v>5484.7823676185199</v>
      </c>
      <c r="AS16" s="32">
        <f t="shared" si="9"/>
        <v>5466.531080517314</v>
      </c>
      <c r="AT16" s="32">
        <v>2846.1489999999999</v>
      </c>
      <c r="AU16" s="32">
        <v>739.02300000000002</v>
      </c>
      <c r="AV16" s="32">
        <v>0</v>
      </c>
      <c r="AW16" s="32">
        <v>2846.1489999999999</v>
      </c>
      <c r="AX16" s="32">
        <v>2077.6849999999999</v>
      </c>
      <c r="AY16" s="85"/>
    </row>
    <row r="17" spans="1:51" x14ac:dyDescent="0.25">
      <c r="A17" s="31">
        <v>8</v>
      </c>
      <c r="B17" s="86">
        <v>171</v>
      </c>
      <c r="C17" s="86" t="str">
        <f>IF($J$1="ENG","Credit Agricole Bank","Креді Агріколь Банк")</f>
        <v>Credit Agricole Bank</v>
      </c>
      <c r="D17" s="31" t="str">
        <f>IF($J$1="ENG","Foreign banks","Банки іноземних банківських груп")</f>
        <v>Foreign banks</v>
      </c>
      <c r="E17" s="32">
        <v>1909.6030000000001</v>
      </c>
      <c r="F17" s="32">
        <v>3669.95</v>
      </c>
      <c r="G17" s="81">
        <v>0.19409999999999999</v>
      </c>
      <c r="H17" s="81">
        <v>0.10100000000000001</v>
      </c>
      <c r="I17" s="32">
        <f t="shared" si="1"/>
        <v>18906.960396039602</v>
      </c>
      <c r="J17" s="121" t="str">
        <f t="shared" si="2"/>
        <v>no</v>
      </c>
      <c r="K17" s="32">
        <v>1909.6030000000001</v>
      </c>
      <c r="L17" s="32">
        <v>3525.51</v>
      </c>
      <c r="M17" s="81">
        <v>0.186</v>
      </c>
      <c r="N17" s="81">
        <v>0.1007</v>
      </c>
      <c r="O17" s="32">
        <f t="shared" si="3"/>
        <v>18963.286991062563</v>
      </c>
      <c r="P17" s="32">
        <v>3570.9960000000001</v>
      </c>
      <c r="Q17" s="32">
        <v>4987.1540000000005</v>
      </c>
      <c r="R17" s="32">
        <v>6477.03</v>
      </c>
      <c r="S17" s="32">
        <v>4545.1189999999997</v>
      </c>
      <c r="T17" s="32">
        <v>5815.4669999999996</v>
      </c>
      <c r="U17" s="32">
        <v>7089.9139999999998</v>
      </c>
      <c r="V17" s="81">
        <v>0.2228</v>
      </c>
      <c r="W17" s="81">
        <v>0.28410000000000002</v>
      </c>
      <c r="X17" s="81">
        <v>0.34539999999999998</v>
      </c>
      <c r="Y17" s="81">
        <v>0.17499999999999999</v>
      </c>
      <c r="Z17" s="81">
        <v>0.24360000000000001</v>
      </c>
      <c r="AA17" s="81">
        <v>0.3155</v>
      </c>
      <c r="AB17" s="32">
        <f t="shared" si="4"/>
        <v>20405.69142857143</v>
      </c>
      <c r="AC17" s="32">
        <f t="shared" si="5"/>
        <v>20472.717569786535</v>
      </c>
      <c r="AD17" s="32">
        <f t="shared" si="6"/>
        <v>20529.413629160063</v>
      </c>
      <c r="AE17" s="32">
        <v>3154.0619999999999</v>
      </c>
      <c r="AF17" s="32">
        <v>4358.2139999999999</v>
      </c>
      <c r="AG17" s="32">
        <v>5722.741</v>
      </c>
      <c r="AH17" s="32">
        <v>4421.1019999999999</v>
      </c>
      <c r="AI17" s="32">
        <v>5490.0519999999997</v>
      </c>
      <c r="AJ17" s="32">
        <v>6595.3220000000001</v>
      </c>
      <c r="AK17" s="81">
        <v>0.2167</v>
      </c>
      <c r="AL17" s="81">
        <v>0.26900000000000002</v>
      </c>
      <c r="AM17" s="81">
        <v>0.32169999999999999</v>
      </c>
      <c r="AN17" s="81">
        <v>0.15459999999999999</v>
      </c>
      <c r="AO17" s="81">
        <v>0.2135</v>
      </c>
      <c r="AP17" s="81">
        <v>0.27910000000000001</v>
      </c>
      <c r="AQ17" s="32">
        <f t="shared" si="7"/>
        <v>20401.435963777491</v>
      </c>
      <c r="AR17" s="32">
        <f t="shared" si="8"/>
        <v>20413.180327868853</v>
      </c>
      <c r="AS17" s="32">
        <f t="shared" si="9"/>
        <v>20504.267287710496</v>
      </c>
      <c r="AT17" s="32">
        <v>0</v>
      </c>
      <c r="AU17" s="32">
        <v>0</v>
      </c>
      <c r="AV17" s="82">
        <v>0</v>
      </c>
      <c r="AW17" s="32">
        <v>0</v>
      </c>
      <c r="AX17" s="31">
        <v>0</v>
      </c>
      <c r="AY17" s="85"/>
    </row>
    <row r="18" spans="1:51" x14ac:dyDescent="0.25">
      <c r="A18" s="31">
        <v>9</v>
      </c>
      <c r="B18" s="86">
        <v>88</v>
      </c>
      <c r="C18" s="86" t="str">
        <f>IF($J$1="ENG","Kredobank","Кредобанк")</f>
        <v>Kredobank</v>
      </c>
      <c r="D18" s="31" t="str">
        <f>IF($J$1="ENG","Foreign banks","Банки іноземних банківських груп")</f>
        <v>Foreign banks</v>
      </c>
      <c r="E18" s="32">
        <v>879.995</v>
      </c>
      <c r="F18" s="32">
        <v>1410.537</v>
      </c>
      <c r="G18" s="81">
        <v>0.15709999999999999</v>
      </c>
      <c r="H18" s="81">
        <v>9.8000000000000004E-2</v>
      </c>
      <c r="I18" s="32">
        <f t="shared" si="1"/>
        <v>8979.5408163265311</v>
      </c>
      <c r="J18" s="121" t="str">
        <f t="shared" si="2"/>
        <v>no</v>
      </c>
      <c r="K18" s="32">
        <v>882.66099999999994</v>
      </c>
      <c r="L18" s="32">
        <v>1391.992</v>
      </c>
      <c r="M18" s="81">
        <v>0.15540000000000001</v>
      </c>
      <c r="N18" s="81">
        <v>9.8500000000000004E-2</v>
      </c>
      <c r="O18" s="32">
        <f t="shared" si="3"/>
        <v>8961.0253807106583</v>
      </c>
      <c r="P18" s="32">
        <v>1769.077</v>
      </c>
      <c r="Q18" s="32">
        <v>2305.5030000000002</v>
      </c>
      <c r="R18" s="32">
        <v>2895.79</v>
      </c>
      <c r="S18" s="32">
        <v>1878.145</v>
      </c>
      <c r="T18" s="32">
        <v>2414.5709999999999</v>
      </c>
      <c r="U18" s="32">
        <v>3004.857</v>
      </c>
      <c r="V18" s="81">
        <v>0.2089</v>
      </c>
      <c r="W18" s="81">
        <v>0.26729999999999998</v>
      </c>
      <c r="X18" s="81">
        <v>0.33169999999999999</v>
      </c>
      <c r="Y18" s="81">
        <v>0.1968</v>
      </c>
      <c r="Z18" s="81">
        <v>0.25530000000000003</v>
      </c>
      <c r="AA18" s="81">
        <v>0.31969999999999998</v>
      </c>
      <c r="AB18" s="32">
        <f t="shared" si="4"/>
        <v>8989.2123983739839</v>
      </c>
      <c r="AC18" s="32">
        <f t="shared" si="5"/>
        <v>9030.5640423031728</v>
      </c>
      <c r="AD18" s="32">
        <f t="shared" si="6"/>
        <v>9057.8354707538329</v>
      </c>
      <c r="AE18" s="32">
        <v>1490.3510000000001</v>
      </c>
      <c r="AF18" s="32">
        <v>1957.23</v>
      </c>
      <c r="AG18" s="32">
        <v>2575.5230000000001</v>
      </c>
      <c r="AH18" s="32">
        <v>1602.086</v>
      </c>
      <c r="AI18" s="32">
        <v>2068.9639999999999</v>
      </c>
      <c r="AJ18" s="32">
        <v>2687.2579999999998</v>
      </c>
      <c r="AK18" s="81">
        <v>0.17430000000000001</v>
      </c>
      <c r="AL18" s="81">
        <v>0.2228</v>
      </c>
      <c r="AM18" s="81">
        <v>0.28410000000000002</v>
      </c>
      <c r="AN18" s="81">
        <v>0.16209999999999999</v>
      </c>
      <c r="AO18" s="81">
        <v>0.21079999999999999</v>
      </c>
      <c r="AP18" s="81">
        <v>0.27229999999999999</v>
      </c>
      <c r="AQ18" s="32">
        <f t="shared" si="7"/>
        <v>9194.0222085132646</v>
      </c>
      <c r="AR18" s="32">
        <f t="shared" si="8"/>
        <v>9284.7722960151805</v>
      </c>
      <c r="AS18" s="32">
        <f t="shared" si="9"/>
        <v>9458.4024972456864</v>
      </c>
      <c r="AT18" s="32">
        <v>0</v>
      </c>
      <c r="AU18" s="32">
        <v>0</v>
      </c>
      <c r="AV18" s="82">
        <v>0</v>
      </c>
      <c r="AW18" s="32">
        <v>0</v>
      </c>
      <c r="AX18" s="31">
        <v>0</v>
      </c>
      <c r="AY18" s="85"/>
    </row>
    <row r="19" spans="1:51" x14ac:dyDescent="0.25">
      <c r="A19" s="31">
        <v>10</v>
      </c>
      <c r="B19" s="86">
        <v>126</v>
      </c>
      <c r="C19" s="86" t="str">
        <f>IF($J$1="ENG","Megabank","Мегабанк")</f>
        <v>Megabank</v>
      </c>
      <c r="D19" s="31" t="str">
        <f>IF($J$1="ENG","Private banks","Банки з приватним капіталом")</f>
        <v>Private banks</v>
      </c>
      <c r="E19" s="32">
        <v>510.93</v>
      </c>
      <c r="F19" s="32">
        <v>675.43299999999999</v>
      </c>
      <c r="G19" s="81">
        <v>8.7099999999999997E-2</v>
      </c>
      <c r="H19" s="81">
        <v>6.59E-2</v>
      </c>
      <c r="I19" s="32">
        <f t="shared" si="1"/>
        <v>7753.110773899848</v>
      </c>
      <c r="J19" s="121" t="str">
        <f t="shared" si="2"/>
        <v>no</v>
      </c>
      <c r="K19" s="32">
        <v>356.48599999999999</v>
      </c>
      <c r="L19" s="32">
        <v>520.98900000000003</v>
      </c>
      <c r="M19" s="81">
        <v>6.8599999999999994E-2</v>
      </c>
      <c r="N19" s="81">
        <v>4.6899999999999997E-2</v>
      </c>
      <c r="O19" s="32">
        <f t="shared" si="3"/>
        <v>7600.9808102345414</v>
      </c>
      <c r="P19" s="32">
        <v>-264.15600000000001</v>
      </c>
      <c r="Q19" s="32">
        <v>-606.5</v>
      </c>
      <c r="R19" s="32">
        <v>-626.14499999999998</v>
      </c>
      <c r="S19" s="32">
        <v>-264.18599999999998</v>
      </c>
      <c r="T19" s="32">
        <v>-606.53</v>
      </c>
      <c r="U19" s="32">
        <v>-626.17499999999995</v>
      </c>
      <c r="V19" s="81">
        <v>-3.7100000000000001E-2</v>
      </c>
      <c r="W19" s="81">
        <v>-8.7499999999999994E-2</v>
      </c>
      <c r="X19" s="81">
        <v>-8.9099999999999999E-2</v>
      </c>
      <c r="Y19" s="81">
        <v>-3.7100000000000001E-2</v>
      </c>
      <c r="Z19" s="81">
        <v>-8.7499999999999994E-2</v>
      </c>
      <c r="AA19" s="81">
        <v>-8.9099999999999999E-2</v>
      </c>
      <c r="AB19" s="32">
        <f t="shared" si="4"/>
        <v>7120.1078167115902</v>
      </c>
      <c r="AC19" s="32">
        <f t="shared" si="5"/>
        <v>6931.4285714285716</v>
      </c>
      <c r="AD19" s="32">
        <f t="shared" si="6"/>
        <v>7027.4410774410771</v>
      </c>
      <c r="AE19" s="32">
        <v>-1205.752</v>
      </c>
      <c r="AF19" s="32">
        <v>-2162.607</v>
      </c>
      <c r="AG19" s="32">
        <v>-2394.607</v>
      </c>
      <c r="AH19" s="32">
        <v>-1205.7819999999999</v>
      </c>
      <c r="AI19" s="32">
        <v>-2162.6370000000002</v>
      </c>
      <c r="AJ19" s="32">
        <v>-2394.6370000000002</v>
      </c>
      <c r="AK19" s="81">
        <v>-0.16420000000000001</v>
      </c>
      <c r="AL19" s="81">
        <v>-0.30959999999999999</v>
      </c>
      <c r="AM19" s="81">
        <v>-0.33650000000000002</v>
      </c>
      <c r="AN19" s="81">
        <v>-0.16420000000000001</v>
      </c>
      <c r="AO19" s="81">
        <v>-0.30959999999999999</v>
      </c>
      <c r="AP19" s="81">
        <v>-0.33650000000000002</v>
      </c>
      <c r="AQ19" s="32">
        <f t="shared" si="7"/>
        <v>7343.1912302070641</v>
      </c>
      <c r="AR19" s="32">
        <f t="shared" si="8"/>
        <v>6985.1647286821708</v>
      </c>
      <c r="AS19" s="32">
        <f t="shared" si="9"/>
        <v>7116.2169390787512</v>
      </c>
      <c r="AT19" s="32">
        <v>2688.1570000000002</v>
      </c>
      <c r="AU19" s="32">
        <v>839.74300000000005</v>
      </c>
      <c r="AV19" s="110">
        <v>610.75300000000004</v>
      </c>
      <c r="AW19" s="32">
        <v>2688.1570000000002</v>
      </c>
      <c r="AX19" s="32">
        <v>2265.9789999999998</v>
      </c>
      <c r="AY19" s="85"/>
    </row>
    <row r="20" spans="1:51" x14ac:dyDescent="0.25">
      <c r="A20" s="31">
        <v>11</v>
      </c>
      <c r="B20" s="86">
        <v>296</v>
      </c>
      <c r="C20" s="86" t="str">
        <f>IF($J$1="ENG","OTP Bank","ОТП Банк")</f>
        <v>OTP Bank</v>
      </c>
      <c r="D20" s="31" t="str">
        <f>IF($J$1="ENG","Foreign banks","Банки іноземних банківських груп")</f>
        <v>Foreign banks</v>
      </c>
      <c r="E20" s="32">
        <v>2444.2809999999999</v>
      </c>
      <c r="F20" s="32">
        <v>3234.4949999999999</v>
      </c>
      <c r="G20" s="81">
        <v>0.15659999999999999</v>
      </c>
      <c r="H20" s="81">
        <v>0.1183</v>
      </c>
      <c r="I20" s="32">
        <f t="shared" si="1"/>
        <v>20661.715976331361</v>
      </c>
      <c r="J20" s="121" t="str">
        <f t="shared" si="2"/>
        <v>no</v>
      </c>
      <c r="K20" s="32">
        <v>2444.2809999999999</v>
      </c>
      <c r="L20" s="32">
        <v>3286.547</v>
      </c>
      <c r="M20" s="81">
        <v>0.1578</v>
      </c>
      <c r="N20" s="81">
        <v>0.1174</v>
      </c>
      <c r="O20" s="32">
        <f t="shared" si="3"/>
        <v>20820.110732538331</v>
      </c>
      <c r="P20" s="32">
        <v>4351.7420000000002</v>
      </c>
      <c r="Q20" s="32">
        <v>5566.799</v>
      </c>
      <c r="R20" s="32">
        <v>6856.7749999999996</v>
      </c>
      <c r="S20" s="32">
        <v>4351.7420000000002</v>
      </c>
      <c r="T20" s="32">
        <v>5566.799</v>
      </c>
      <c r="U20" s="32">
        <v>6856.7749999999996</v>
      </c>
      <c r="V20" s="81">
        <v>0.20860000000000001</v>
      </c>
      <c r="W20" s="81">
        <v>0.2656</v>
      </c>
      <c r="X20" s="81">
        <v>0.3266</v>
      </c>
      <c r="Y20" s="81">
        <v>0.20860000000000001</v>
      </c>
      <c r="Z20" s="81">
        <v>0.2656</v>
      </c>
      <c r="AA20" s="81">
        <v>0.3266</v>
      </c>
      <c r="AB20" s="32">
        <f t="shared" si="4"/>
        <v>20861.658676893578</v>
      </c>
      <c r="AC20" s="32">
        <f t="shared" si="5"/>
        <v>20959.33358433735</v>
      </c>
      <c r="AD20" s="32">
        <f t="shared" si="6"/>
        <v>20994.412124923452</v>
      </c>
      <c r="AE20" s="32">
        <v>3188.7910000000002</v>
      </c>
      <c r="AF20" s="32">
        <v>4032.431</v>
      </c>
      <c r="AG20" s="32">
        <v>5177.7439999999997</v>
      </c>
      <c r="AH20" s="32">
        <v>3188.7910000000002</v>
      </c>
      <c r="AI20" s="32">
        <v>4032.431</v>
      </c>
      <c r="AJ20" s="32">
        <v>5177.7430000000004</v>
      </c>
      <c r="AK20" s="81">
        <v>0.15690000000000001</v>
      </c>
      <c r="AL20" s="81">
        <v>0.19919999999999999</v>
      </c>
      <c r="AM20" s="81">
        <v>0.25459999999999999</v>
      </c>
      <c r="AN20" s="81">
        <v>0.15690000000000001</v>
      </c>
      <c r="AO20" s="81">
        <v>0.19919999999999999</v>
      </c>
      <c r="AP20" s="81">
        <v>0.25459999999999999</v>
      </c>
      <c r="AQ20" s="32">
        <f t="shared" si="7"/>
        <v>20323.715742511155</v>
      </c>
      <c r="AR20" s="32">
        <f t="shared" si="8"/>
        <v>20243.127510040162</v>
      </c>
      <c r="AS20" s="32">
        <f t="shared" si="9"/>
        <v>20336.779261586802</v>
      </c>
      <c r="AT20" s="32">
        <v>0</v>
      </c>
      <c r="AU20" s="32">
        <v>0</v>
      </c>
      <c r="AV20" s="31">
        <v>0</v>
      </c>
      <c r="AW20" s="32">
        <v>0</v>
      </c>
      <c r="AX20" s="31">
        <v>0</v>
      </c>
      <c r="AY20" s="85"/>
    </row>
    <row r="21" spans="1:51" x14ac:dyDescent="0.25">
      <c r="A21" s="31">
        <v>12</v>
      </c>
      <c r="B21" s="86">
        <v>6</v>
      </c>
      <c r="C21" s="86" t="str">
        <f>IF($J$1="ENG","Oschadbank","Ощадбанк")</f>
        <v>Oschadbank</v>
      </c>
      <c r="D21" s="31" t="str">
        <f>IF($J$1="ENG","State-owned banks","Банки з державною часткою")</f>
        <v>State-owned banks</v>
      </c>
      <c r="E21" s="32">
        <v>10344.343000000001</v>
      </c>
      <c r="F21" s="32">
        <v>14055.174000000001</v>
      </c>
      <c r="G21" s="81">
        <v>0.18770000000000001</v>
      </c>
      <c r="H21" s="81">
        <v>0.1381</v>
      </c>
      <c r="I21" s="32">
        <f t="shared" si="1"/>
        <v>74904.728457639401</v>
      </c>
      <c r="J21" s="121" t="str">
        <f t="shared" si="2"/>
        <v>no</v>
      </c>
      <c r="K21" s="32">
        <v>9122.2939999999999</v>
      </c>
      <c r="L21" s="32">
        <v>12833.119000000001</v>
      </c>
      <c r="M21" s="81">
        <v>0.17330000000000001</v>
      </c>
      <c r="N21" s="81">
        <v>0.1232</v>
      </c>
      <c r="O21" s="32">
        <f t="shared" si="3"/>
        <v>74044.594155844155</v>
      </c>
      <c r="P21" s="32">
        <v>12640.493</v>
      </c>
      <c r="Q21" s="32">
        <v>14411.39</v>
      </c>
      <c r="R21" s="32">
        <v>18191.545999999998</v>
      </c>
      <c r="S21" s="32">
        <v>16401.258999999998</v>
      </c>
      <c r="T21" s="32">
        <v>18232.085999999999</v>
      </c>
      <c r="U21" s="32">
        <v>21452.895</v>
      </c>
      <c r="V21" s="81">
        <v>0.2195</v>
      </c>
      <c r="W21" s="81">
        <v>0.24779999999999999</v>
      </c>
      <c r="X21" s="81">
        <v>0.28639999999999999</v>
      </c>
      <c r="Y21" s="81">
        <v>0.16919999999999999</v>
      </c>
      <c r="Z21" s="81">
        <v>0.19589999999999999</v>
      </c>
      <c r="AA21" s="81">
        <v>0.24279999999999999</v>
      </c>
      <c r="AB21" s="32">
        <f t="shared" si="4"/>
        <v>74707.405437352252</v>
      </c>
      <c r="AC21" s="32">
        <f t="shared" si="5"/>
        <v>73565.033180193976</v>
      </c>
      <c r="AD21" s="32">
        <f t="shared" si="6"/>
        <v>74923.995057660621</v>
      </c>
      <c r="AE21" s="32">
        <v>1064.377</v>
      </c>
      <c r="AF21" s="32">
        <v>-3807.355</v>
      </c>
      <c r="AG21" s="32">
        <v>-3662.5439999999999</v>
      </c>
      <c r="AH21" s="32">
        <v>2071.5349999999999</v>
      </c>
      <c r="AI21" s="32">
        <v>-3864.5749999999998</v>
      </c>
      <c r="AJ21" s="32">
        <v>-3719.7640000000001</v>
      </c>
      <c r="AK21" s="81">
        <v>3.0800000000000001E-2</v>
      </c>
      <c r="AL21" s="81">
        <v>-6.1400000000000003E-2</v>
      </c>
      <c r="AM21" s="81">
        <v>-6.0499999999999998E-2</v>
      </c>
      <c r="AN21" s="81">
        <v>1.5800000000000002E-2</v>
      </c>
      <c r="AO21" s="81">
        <v>-6.0499999999999998E-2</v>
      </c>
      <c r="AP21" s="81">
        <v>-5.96E-2</v>
      </c>
      <c r="AQ21" s="32">
        <f t="shared" si="7"/>
        <v>67365.6329113924</v>
      </c>
      <c r="AR21" s="32">
        <f t="shared" si="8"/>
        <v>62931.487603305788</v>
      </c>
      <c r="AS21" s="32">
        <f t="shared" si="9"/>
        <v>61452.080536912748</v>
      </c>
      <c r="AT21" s="32">
        <v>6208.5969999999998</v>
      </c>
      <c r="AU21" s="32">
        <v>0</v>
      </c>
      <c r="AV21" s="31">
        <v>0</v>
      </c>
      <c r="AW21" s="32">
        <v>6208.5969999999998</v>
      </c>
      <c r="AX21" s="32">
        <v>1558.405</v>
      </c>
      <c r="AY21" s="85"/>
    </row>
    <row r="22" spans="1:51" x14ac:dyDescent="0.25">
      <c r="A22" s="31">
        <v>13</v>
      </c>
      <c r="B22" s="86">
        <v>106</v>
      </c>
      <c r="C22" s="86" t="str">
        <f>IF($J$1="ENG","Pivdennyi","Південний")</f>
        <v>Pivdennyi</v>
      </c>
      <c r="D22" s="31" t="str">
        <f>IF($J$1="ENG","Private banks","Банки з приватним капіталом")</f>
        <v>Private banks</v>
      </c>
      <c r="E22" s="32">
        <v>1741.568</v>
      </c>
      <c r="F22" s="32">
        <v>2101.5189999999998</v>
      </c>
      <c r="G22" s="81">
        <v>0.1037</v>
      </c>
      <c r="H22" s="81">
        <v>8.5999999999999993E-2</v>
      </c>
      <c r="I22" s="32">
        <f t="shared" si="1"/>
        <v>20250.79069767442</v>
      </c>
      <c r="J22" s="121" t="str">
        <f t="shared" si="2"/>
        <v>no</v>
      </c>
      <c r="K22" s="32">
        <v>1741.568</v>
      </c>
      <c r="L22" s="32">
        <v>1996.47</v>
      </c>
      <c r="M22" s="81">
        <v>9.8900000000000002E-2</v>
      </c>
      <c r="N22" s="81">
        <v>8.6199999999999999E-2</v>
      </c>
      <c r="O22" s="32">
        <f t="shared" si="3"/>
        <v>20203.805104408351</v>
      </c>
      <c r="P22" s="32">
        <v>1843.3910000000001</v>
      </c>
      <c r="Q22" s="32">
        <v>1982.615</v>
      </c>
      <c r="R22" s="32">
        <v>2471.0050000000001</v>
      </c>
      <c r="S22" s="32">
        <v>1946.836</v>
      </c>
      <c r="T22" s="32">
        <v>2065.6390000000001</v>
      </c>
      <c r="U22" s="32">
        <v>2532.71</v>
      </c>
      <c r="V22" s="81">
        <v>9.8299999999999998E-2</v>
      </c>
      <c r="W22" s="81">
        <v>0.1051</v>
      </c>
      <c r="X22" s="81">
        <v>0.128</v>
      </c>
      <c r="Y22" s="81">
        <v>9.3100000000000002E-2</v>
      </c>
      <c r="Z22" s="81">
        <v>0.1009</v>
      </c>
      <c r="AA22" s="81">
        <v>0.12479999999999999</v>
      </c>
      <c r="AB22" s="32">
        <f t="shared" si="4"/>
        <v>19800.118152524166</v>
      </c>
      <c r="AC22" s="32">
        <f t="shared" si="5"/>
        <v>19649.306243805746</v>
      </c>
      <c r="AD22" s="32">
        <f t="shared" si="6"/>
        <v>19799.719551282054</v>
      </c>
      <c r="AE22" s="32">
        <v>-611.18399999999997</v>
      </c>
      <c r="AF22" s="32">
        <v>-1319.0360000000001</v>
      </c>
      <c r="AG22" s="32">
        <v>-1104.7</v>
      </c>
      <c r="AH22" s="32">
        <v>-653.60699999999997</v>
      </c>
      <c r="AI22" s="32">
        <v>-1361.4590000000001</v>
      </c>
      <c r="AJ22" s="32">
        <v>-1147.1220000000001</v>
      </c>
      <c r="AK22" s="81">
        <v>-3.1199999999999999E-2</v>
      </c>
      <c r="AL22" s="81">
        <v>-6.4299999999999996E-2</v>
      </c>
      <c r="AM22" s="81">
        <v>-5.2499999999999998E-2</v>
      </c>
      <c r="AN22" s="81">
        <v>-2.9100000000000001E-2</v>
      </c>
      <c r="AO22" s="81">
        <v>-6.2300000000000001E-2</v>
      </c>
      <c r="AP22" s="81">
        <v>-5.0599999999999999E-2</v>
      </c>
      <c r="AQ22" s="32">
        <f t="shared" si="7"/>
        <v>21002.886597938144</v>
      </c>
      <c r="AR22" s="32">
        <f t="shared" si="8"/>
        <v>21172.327447833068</v>
      </c>
      <c r="AS22" s="32">
        <f t="shared" si="9"/>
        <v>21832.01581027668</v>
      </c>
      <c r="AT22" s="32">
        <v>2280.8029999999999</v>
      </c>
      <c r="AU22" s="32">
        <v>33.003</v>
      </c>
      <c r="AV22" s="31">
        <v>0</v>
      </c>
      <c r="AW22" s="32">
        <v>2280.8029999999999</v>
      </c>
      <c r="AX22" s="109">
        <v>169.232</v>
      </c>
      <c r="AY22" s="85"/>
    </row>
    <row r="23" spans="1:51" x14ac:dyDescent="0.25">
      <c r="A23" s="31">
        <v>14</v>
      </c>
      <c r="B23" s="86">
        <v>46</v>
      </c>
      <c r="C23" s="86" t="str">
        <f>IF($J$1="ENG","Privatbank","Приватбанк")</f>
        <v>Privatbank</v>
      </c>
      <c r="D23" s="31" t="str">
        <f>IF($J$1="ENG","State-owned banks","Банки з державною часткою")</f>
        <v>State-owned banks</v>
      </c>
      <c r="E23" s="32">
        <v>17888.588</v>
      </c>
      <c r="F23" s="32">
        <v>17569.379000000001</v>
      </c>
      <c r="G23" s="81">
        <v>0.17330000000000001</v>
      </c>
      <c r="H23" s="81">
        <v>0.1764</v>
      </c>
      <c r="I23" s="32">
        <f t="shared" si="1"/>
        <v>101409.22902494331</v>
      </c>
      <c r="J23" s="121" t="str">
        <f t="shared" si="2"/>
        <v>no</v>
      </c>
      <c r="K23" s="32">
        <v>19399.525000000001</v>
      </c>
      <c r="L23" s="32">
        <v>19365.988000000001</v>
      </c>
      <c r="M23" s="81">
        <v>0.1797</v>
      </c>
      <c r="N23" s="81">
        <v>0.18</v>
      </c>
      <c r="O23" s="32">
        <f t="shared" si="3"/>
        <v>107775.13888888891</v>
      </c>
      <c r="P23" s="32">
        <v>17800.383999999998</v>
      </c>
      <c r="Q23" s="32">
        <v>27420.255000000001</v>
      </c>
      <c r="R23" s="32">
        <v>38298.375</v>
      </c>
      <c r="S23" s="32">
        <v>26759.597000000002</v>
      </c>
      <c r="T23" s="32">
        <v>36379.468000000001</v>
      </c>
      <c r="U23" s="32">
        <v>47257.587</v>
      </c>
      <c r="V23" s="81">
        <v>0.32240000000000002</v>
      </c>
      <c r="W23" s="81">
        <v>0.43930000000000002</v>
      </c>
      <c r="X23" s="81">
        <v>0.56889999999999996</v>
      </c>
      <c r="Y23" s="81">
        <v>0.21440000000000001</v>
      </c>
      <c r="Z23" s="81">
        <v>0.33110000000000001</v>
      </c>
      <c r="AA23" s="81">
        <v>0.46110000000000001</v>
      </c>
      <c r="AB23" s="32">
        <f t="shared" si="4"/>
        <v>83024.179104477604</v>
      </c>
      <c r="AC23" s="32">
        <f t="shared" si="5"/>
        <v>82815.629719118093</v>
      </c>
      <c r="AD23" s="32">
        <f t="shared" si="6"/>
        <v>83058.718282368252</v>
      </c>
      <c r="AE23" s="32">
        <v>4847.6710000000003</v>
      </c>
      <c r="AF23" s="32">
        <v>4444.6170000000002</v>
      </c>
      <c r="AG23" s="32">
        <v>9610.9230000000007</v>
      </c>
      <c r="AH23" s="32">
        <v>9262.5679999999993</v>
      </c>
      <c r="AI23" s="32">
        <v>8456.4609999999993</v>
      </c>
      <c r="AJ23" s="32">
        <v>18570.135999999999</v>
      </c>
      <c r="AK23" s="81">
        <v>0.128</v>
      </c>
      <c r="AL23" s="81">
        <v>0.1212</v>
      </c>
      <c r="AM23" s="81">
        <v>0.2661</v>
      </c>
      <c r="AN23" s="81">
        <v>6.7000000000000004E-2</v>
      </c>
      <c r="AO23" s="81">
        <v>6.3700000000000007E-2</v>
      </c>
      <c r="AP23" s="81">
        <v>0.13769999999999999</v>
      </c>
      <c r="AQ23" s="32">
        <f t="shared" si="7"/>
        <v>72353.298507462692</v>
      </c>
      <c r="AR23" s="32">
        <f t="shared" si="8"/>
        <v>69774.20722135008</v>
      </c>
      <c r="AS23" s="32">
        <f t="shared" si="9"/>
        <v>69796.100217864936</v>
      </c>
      <c r="AT23" s="32">
        <v>0</v>
      </c>
      <c r="AU23" s="32">
        <v>0</v>
      </c>
      <c r="AV23" s="82">
        <v>0</v>
      </c>
      <c r="AW23" s="32">
        <v>0</v>
      </c>
      <c r="AX23" s="83">
        <v>0</v>
      </c>
      <c r="AY23" s="85"/>
    </row>
    <row r="24" spans="1:51" x14ac:dyDescent="0.25">
      <c r="A24" s="31">
        <v>15</v>
      </c>
      <c r="B24" s="86">
        <v>298</v>
      </c>
      <c r="C24" s="86" t="str">
        <f>IF($J$1="ENG","Procredit","Прокредит")</f>
        <v>Procredit</v>
      </c>
      <c r="D24" s="31" t="str">
        <f>IF($J$1="ENG","Foreign banks","Банки іноземних банківських груп")</f>
        <v>Foreign banks</v>
      </c>
      <c r="E24" s="32">
        <v>1509.0619999999999</v>
      </c>
      <c r="F24" s="32">
        <v>1944.123</v>
      </c>
      <c r="G24" s="81">
        <v>0.14369999999999999</v>
      </c>
      <c r="H24" s="81">
        <v>0.1116</v>
      </c>
      <c r="I24" s="32">
        <f t="shared" si="1"/>
        <v>13522.060931899639</v>
      </c>
      <c r="J24" s="121" t="str">
        <f t="shared" si="2"/>
        <v>no</v>
      </c>
      <c r="K24" s="32">
        <v>1509.0619999999999</v>
      </c>
      <c r="L24" s="32">
        <v>1918.242</v>
      </c>
      <c r="M24" s="81">
        <v>0.1421</v>
      </c>
      <c r="N24" s="81">
        <v>0.1118</v>
      </c>
      <c r="O24" s="32">
        <f t="shared" si="3"/>
        <v>13497.871198568873</v>
      </c>
      <c r="P24" s="32">
        <v>2810.3789999999999</v>
      </c>
      <c r="Q24" s="32">
        <v>3765.8220000000001</v>
      </c>
      <c r="R24" s="32">
        <v>4741.2809999999999</v>
      </c>
      <c r="S24" s="32">
        <v>2810.3789999999999</v>
      </c>
      <c r="T24" s="32">
        <v>3765.8220000000001</v>
      </c>
      <c r="U24" s="32">
        <v>4741.2809999999999</v>
      </c>
      <c r="V24" s="81">
        <v>0.20810000000000001</v>
      </c>
      <c r="W24" s="81">
        <v>0.2767</v>
      </c>
      <c r="X24" s="81">
        <v>0.34699999999999998</v>
      </c>
      <c r="Y24" s="81">
        <v>0.20810000000000001</v>
      </c>
      <c r="Z24" s="81">
        <v>0.2767</v>
      </c>
      <c r="AA24" s="81">
        <v>0.34699999999999998</v>
      </c>
      <c r="AB24" s="32">
        <f t="shared" si="4"/>
        <v>13504.944738106678</v>
      </c>
      <c r="AC24" s="32">
        <f t="shared" si="5"/>
        <v>13609.765088543549</v>
      </c>
      <c r="AD24" s="32">
        <f t="shared" si="6"/>
        <v>13663.63400576369</v>
      </c>
      <c r="AE24" s="32">
        <v>2400.6439999999998</v>
      </c>
      <c r="AF24" s="32">
        <v>3225.864</v>
      </c>
      <c r="AG24" s="32">
        <v>4137.3040000000001</v>
      </c>
      <c r="AH24" s="32">
        <v>2400.6439999999998</v>
      </c>
      <c r="AI24" s="32">
        <v>3225.864</v>
      </c>
      <c r="AJ24" s="32">
        <v>4137.3040000000001</v>
      </c>
      <c r="AK24" s="81">
        <v>0.16880000000000001</v>
      </c>
      <c r="AL24" s="81">
        <v>0.2235</v>
      </c>
      <c r="AM24" s="81">
        <v>0.28289999999999998</v>
      </c>
      <c r="AN24" s="81">
        <v>0.16880000000000001</v>
      </c>
      <c r="AO24" s="81">
        <v>0.2235</v>
      </c>
      <c r="AP24" s="81">
        <v>0.28289999999999998</v>
      </c>
      <c r="AQ24" s="32">
        <f t="shared" si="7"/>
        <v>14221.824644549761</v>
      </c>
      <c r="AR24" s="32">
        <f t="shared" si="8"/>
        <v>14433.395973154362</v>
      </c>
      <c r="AS24" s="32">
        <f t="shared" si="9"/>
        <v>14624.616472251681</v>
      </c>
      <c r="AT24" s="32">
        <v>0</v>
      </c>
      <c r="AU24" s="32">
        <v>0</v>
      </c>
      <c r="AV24" s="31">
        <v>0</v>
      </c>
      <c r="AW24" s="32">
        <v>0</v>
      </c>
      <c r="AX24" s="31">
        <v>0</v>
      </c>
      <c r="AY24" s="85"/>
    </row>
    <row r="25" spans="1:51" x14ac:dyDescent="0.25">
      <c r="A25" s="31">
        <v>16</v>
      </c>
      <c r="B25" s="86">
        <v>3</v>
      </c>
      <c r="C25" s="86" t="str">
        <f>IF($J$1="ENG","Prominvestbank","Промінвестбанк")</f>
        <v>Prominvestbank</v>
      </c>
      <c r="D25" s="31" t="str">
        <f>IF($J$1="ENG","Banks owned by Russia","Банки з державним російським капіталом")</f>
        <v>Banks owned by Russia</v>
      </c>
      <c r="E25" s="32">
        <v>3139.4450000000002</v>
      </c>
      <c r="F25" s="32">
        <v>3945.9949999999999</v>
      </c>
      <c r="G25" s="81">
        <v>0.1575</v>
      </c>
      <c r="H25" s="81">
        <v>0.12529999999999999</v>
      </c>
      <c r="I25" s="32">
        <f t="shared" si="1"/>
        <v>25055.426975259379</v>
      </c>
      <c r="J25" s="121" t="str">
        <f t="shared" si="2"/>
        <v>no</v>
      </c>
      <c r="K25" s="32">
        <v>2235.8620000000001</v>
      </c>
      <c r="L25" s="32">
        <v>2997.27</v>
      </c>
      <c r="M25" s="81">
        <v>0.1237</v>
      </c>
      <c r="N25" s="81">
        <v>9.2299999999999993E-2</v>
      </c>
      <c r="O25" s="32">
        <f t="shared" si="3"/>
        <v>24223.856988082342</v>
      </c>
      <c r="P25" s="32">
        <v>1565.3910000000001</v>
      </c>
      <c r="Q25" s="32">
        <v>1298.0999999999999</v>
      </c>
      <c r="R25" s="32">
        <v>1314.229</v>
      </c>
      <c r="S25" s="32">
        <v>2326.799</v>
      </c>
      <c r="T25" s="32">
        <v>2059.5079999999998</v>
      </c>
      <c r="U25" s="32">
        <v>2075.6370000000002</v>
      </c>
      <c r="V25" s="81">
        <v>0.10249999999999999</v>
      </c>
      <c r="W25" s="81">
        <v>9.0800000000000006E-2</v>
      </c>
      <c r="X25" s="81">
        <v>9.0800000000000006E-2</v>
      </c>
      <c r="Y25" s="81">
        <v>6.9000000000000006E-2</v>
      </c>
      <c r="Z25" s="81">
        <v>5.7200000000000001E-2</v>
      </c>
      <c r="AA25" s="81">
        <v>5.7500000000000002E-2</v>
      </c>
      <c r="AB25" s="32">
        <f t="shared" si="4"/>
        <v>22686.82608695652</v>
      </c>
      <c r="AC25" s="32">
        <f t="shared" si="5"/>
        <v>22694.055944055941</v>
      </c>
      <c r="AD25" s="32">
        <f t="shared" si="6"/>
        <v>22856.156521739129</v>
      </c>
      <c r="AE25" s="32">
        <v>483.322</v>
      </c>
      <c r="AF25" s="32">
        <v>-120.536</v>
      </c>
      <c r="AG25" s="32">
        <v>-135.084</v>
      </c>
      <c r="AH25" s="32">
        <v>965.46500000000003</v>
      </c>
      <c r="AI25" s="32">
        <v>-121.714</v>
      </c>
      <c r="AJ25" s="32">
        <v>-136.262</v>
      </c>
      <c r="AK25" s="81">
        <v>4.6899999999999997E-2</v>
      </c>
      <c r="AL25" s="81">
        <v>-6.1000000000000004E-3</v>
      </c>
      <c r="AM25" s="81">
        <v>-6.8999999999999999E-3</v>
      </c>
      <c r="AN25" s="81">
        <v>2.35E-2</v>
      </c>
      <c r="AO25" s="81">
        <v>-6.1000000000000004E-3</v>
      </c>
      <c r="AP25" s="81">
        <v>-6.8999999999999999E-3</v>
      </c>
      <c r="AQ25" s="32">
        <f t="shared" si="7"/>
        <v>20566.893617021276</v>
      </c>
      <c r="AR25" s="32">
        <f t="shared" si="8"/>
        <v>19760</v>
      </c>
      <c r="AS25" s="32">
        <f t="shared" si="9"/>
        <v>19577.391304347828</v>
      </c>
      <c r="AT25" s="32">
        <v>945.59500000000003</v>
      </c>
      <c r="AU25" s="32">
        <v>23.617999999999999</v>
      </c>
      <c r="AV25" s="32">
        <v>0</v>
      </c>
      <c r="AW25" s="32">
        <v>945.59500000000003</v>
      </c>
      <c r="AX25" s="114">
        <v>598.87800000000004</v>
      </c>
      <c r="AY25" s="85"/>
    </row>
    <row r="26" spans="1:51" x14ac:dyDescent="0.25">
      <c r="A26" s="31">
        <v>17</v>
      </c>
      <c r="B26" s="86">
        <v>115</v>
      </c>
      <c r="C26" s="86" t="str">
        <f>IF($J$1="ENG","FUIB","ПУМБ")</f>
        <v>FUIB</v>
      </c>
      <c r="D26" s="31" t="str">
        <f>IF($J$1="ENG","Private banks","Банки з приватним капіталом")</f>
        <v>Private banks</v>
      </c>
      <c r="E26" s="32">
        <v>2798.998</v>
      </c>
      <c r="F26" s="32">
        <v>3519.3870000000002</v>
      </c>
      <c r="G26" s="81">
        <v>0.1176</v>
      </c>
      <c r="H26" s="81">
        <v>9.3600000000000003E-2</v>
      </c>
      <c r="I26" s="32">
        <f t="shared" si="1"/>
        <v>29903.824786324785</v>
      </c>
      <c r="J26" s="121" t="str">
        <f t="shared" si="2"/>
        <v>no</v>
      </c>
      <c r="K26" s="32">
        <v>2256.373</v>
      </c>
      <c r="L26" s="32">
        <v>2976.7620000000002</v>
      </c>
      <c r="M26" s="81">
        <v>0.10150000000000001</v>
      </c>
      <c r="N26" s="81">
        <v>7.6899999999999996E-2</v>
      </c>
      <c r="O26" s="32">
        <f t="shared" si="3"/>
        <v>29341.651495448637</v>
      </c>
      <c r="P26" s="32">
        <v>2189.3560000000002</v>
      </c>
      <c r="Q26" s="32">
        <v>4108.1239999999998</v>
      </c>
      <c r="R26" s="32">
        <v>6446.9719999999998</v>
      </c>
      <c r="S26" s="32">
        <v>2813.2860000000001</v>
      </c>
      <c r="T26" s="32">
        <v>4635.5929999999998</v>
      </c>
      <c r="U26" s="32">
        <v>6877.982</v>
      </c>
      <c r="V26" s="81">
        <v>0.1065</v>
      </c>
      <c r="W26" s="81">
        <v>0.1769</v>
      </c>
      <c r="X26" s="81">
        <v>0.2611</v>
      </c>
      <c r="Y26" s="81">
        <v>8.2900000000000001E-2</v>
      </c>
      <c r="Z26" s="81">
        <v>0.15679999999999999</v>
      </c>
      <c r="AA26" s="81">
        <v>0.2447</v>
      </c>
      <c r="AB26" s="32">
        <f t="shared" si="4"/>
        <v>26409.601930036191</v>
      </c>
      <c r="AC26" s="32">
        <f t="shared" si="5"/>
        <v>26199.770408163266</v>
      </c>
      <c r="AD26" s="32">
        <f t="shared" si="6"/>
        <v>26346.432366162648</v>
      </c>
      <c r="AE26" s="32">
        <v>-1300.1969999999999</v>
      </c>
      <c r="AF26" s="32">
        <v>-835.346</v>
      </c>
      <c r="AG26" s="32">
        <v>1091.6959999999999</v>
      </c>
      <c r="AH26" s="32">
        <v>-1306.953</v>
      </c>
      <c r="AI26" s="32">
        <v>-842.10199999999998</v>
      </c>
      <c r="AJ26" s="32">
        <v>1522.7049999999999</v>
      </c>
      <c r="AK26" s="81">
        <v>-4.9200000000000001E-2</v>
      </c>
      <c r="AL26" s="81">
        <v>-3.2599999999999997E-2</v>
      </c>
      <c r="AM26" s="81">
        <v>5.79E-2</v>
      </c>
      <c r="AN26" s="81">
        <v>-4.8899999999999999E-2</v>
      </c>
      <c r="AO26" s="81">
        <v>-3.2399999999999998E-2</v>
      </c>
      <c r="AP26" s="81">
        <v>4.1500000000000002E-2</v>
      </c>
      <c r="AQ26" s="32">
        <f t="shared" si="7"/>
        <v>26588.895705521471</v>
      </c>
      <c r="AR26" s="32">
        <f t="shared" si="8"/>
        <v>25782.283950617286</v>
      </c>
      <c r="AS26" s="32">
        <f t="shared" si="9"/>
        <v>26305.927710843371</v>
      </c>
      <c r="AT26" s="32">
        <v>2230.8209999999999</v>
      </c>
      <c r="AU26" s="32">
        <v>0</v>
      </c>
      <c r="AV26" s="82">
        <v>0</v>
      </c>
      <c r="AW26" s="32">
        <v>2230.8209999999999</v>
      </c>
      <c r="AX26" s="31">
        <v>0</v>
      </c>
      <c r="AY26" s="85"/>
    </row>
    <row r="27" spans="1:51" x14ac:dyDescent="0.25">
      <c r="A27" s="31">
        <v>18</v>
      </c>
      <c r="B27" s="86">
        <v>36</v>
      </c>
      <c r="C27" s="86" t="str">
        <f>IF($J$1="ENG","Raiffeisen Bank Aval","Райффайзен Банк Аваль")</f>
        <v>Raiffeisen Bank Aval</v>
      </c>
      <c r="D27" s="31" t="str">
        <f>IF($J$1="ENG","Foreign banks","Банки іноземних банківських груп")</f>
        <v>Foreign banks</v>
      </c>
      <c r="E27" s="32">
        <v>5138.7039999999997</v>
      </c>
      <c r="F27" s="32">
        <v>9488.384</v>
      </c>
      <c r="G27" s="81">
        <v>0.1948</v>
      </c>
      <c r="H27" s="81">
        <v>0.1055</v>
      </c>
      <c r="I27" s="32">
        <f t="shared" si="1"/>
        <v>48708.09478672986</v>
      </c>
      <c r="J27" s="121" t="str">
        <f t="shared" si="2"/>
        <v>no</v>
      </c>
      <c r="K27" s="32">
        <v>5138.7030000000004</v>
      </c>
      <c r="L27" s="32">
        <v>9322.0930000000008</v>
      </c>
      <c r="M27" s="81">
        <v>0.191</v>
      </c>
      <c r="N27" s="81">
        <v>0.1057</v>
      </c>
      <c r="O27" s="32">
        <f t="shared" si="3"/>
        <v>48615.922421948912</v>
      </c>
      <c r="P27" s="32">
        <v>9740.9959999999992</v>
      </c>
      <c r="Q27" s="32">
        <v>14837.748</v>
      </c>
      <c r="R27" s="32">
        <v>19940.624</v>
      </c>
      <c r="S27" s="32">
        <v>10158.528</v>
      </c>
      <c r="T27" s="32">
        <v>15255.28</v>
      </c>
      <c r="U27" s="32">
        <v>20358.155999999999</v>
      </c>
      <c r="V27" s="81">
        <v>0.20830000000000001</v>
      </c>
      <c r="W27" s="81">
        <v>0.31080000000000002</v>
      </c>
      <c r="X27" s="81">
        <v>0.41370000000000001</v>
      </c>
      <c r="Y27" s="81">
        <v>0.19980000000000001</v>
      </c>
      <c r="Z27" s="81">
        <v>0.30230000000000001</v>
      </c>
      <c r="AA27" s="81">
        <v>0.4052</v>
      </c>
      <c r="AB27" s="32">
        <f t="shared" si="4"/>
        <v>48753.73373373373</v>
      </c>
      <c r="AC27" s="32">
        <f t="shared" si="5"/>
        <v>49082.858087992056</v>
      </c>
      <c r="AD27" s="32">
        <f t="shared" si="6"/>
        <v>49211.806515301083</v>
      </c>
      <c r="AE27" s="32">
        <v>9331.6119999999992</v>
      </c>
      <c r="AF27" s="32">
        <v>14367.615</v>
      </c>
      <c r="AG27" s="32">
        <v>19657.807000000001</v>
      </c>
      <c r="AH27" s="32">
        <v>9754.0709999999999</v>
      </c>
      <c r="AI27" s="32">
        <v>14790.074000000001</v>
      </c>
      <c r="AJ27" s="32">
        <v>20080.266</v>
      </c>
      <c r="AK27" s="81">
        <v>0.19170000000000001</v>
      </c>
      <c r="AL27" s="81">
        <v>0.28749999999999998</v>
      </c>
      <c r="AM27" s="81">
        <v>0.38500000000000001</v>
      </c>
      <c r="AN27" s="81">
        <v>0.18340000000000001</v>
      </c>
      <c r="AO27" s="81">
        <v>0.27929999999999999</v>
      </c>
      <c r="AP27" s="81">
        <v>0.37690000000000001</v>
      </c>
      <c r="AQ27" s="32">
        <f t="shared" si="7"/>
        <v>50881.19956379498</v>
      </c>
      <c r="AR27" s="32">
        <f t="shared" si="8"/>
        <v>51441.514500537058</v>
      </c>
      <c r="AS27" s="32">
        <f t="shared" si="9"/>
        <v>52156.558768904222</v>
      </c>
      <c r="AT27" s="32">
        <v>0</v>
      </c>
      <c r="AU27" s="32">
        <v>0</v>
      </c>
      <c r="AV27" s="31">
        <v>0</v>
      </c>
      <c r="AW27" s="32">
        <v>0</v>
      </c>
      <c r="AX27" s="31">
        <v>0</v>
      </c>
      <c r="AY27" s="85"/>
    </row>
    <row r="28" spans="1:51" x14ac:dyDescent="0.25">
      <c r="A28" s="31">
        <v>19</v>
      </c>
      <c r="B28" s="86">
        <v>299</v>
      </c>
      <c r="C28" s="86" t="str">
        <f>IF($J$1="ENG","Sberbank","Сбербанк")</f>
        <v>Sberbank</v>
      </c>
      <c r="D28" s="31" t="str">
        <f>IF($J$1="ENG","Banks owned by Russia","Банки з державним російським капіталом")</f>
        <v>Banks owned by Russia</v>
      </c>
      <c r="E28" s="32">
        <v>4740.2</v>
      </c>
      <c r="F28" s="32">
        <v>5360.7209999999995</v>
      </c>
      <c r="G28" s="81">
        <v>0.14169999999999999</v>
      </c>
      <c r="H28" s="81">
        <v>0.12529999999999999</v>
      </c>
      <c r="I28" s="32">
        <f t="shared" si="1"/>
        <v>37830.806065442936</v>
      </c>
      <c r="J28" s="121" t="str">
        <f t="shared" si="2"/>
        <v>no</v>
      </c>
      <c r="K28" s="32">
        <v>4735.2</v>
      </c>
      <c r="L28" s="32">
        <v>4851.6229999999996</v>
      </c>
      <c r="M28" s="81">
        <v>0.12939999999999999</v>
      </c>
      <c r="N28" s="81">
        <v>0.1263</v>
      </c>
      <c r="O28" s="32">
        <f t="shared" si="3"/>
        <v>37491.686460807599</v>
      </c>
      <c r="P28" s="32">
        <v>5729.4579999999996</v>
      </c>
      <c r="Q28" s="32">
        <v>5539.085</v>
      </c>
      <c r="R28" s="32">
        <v>7162.2060000000001</v>
      </c>
      <c r="S28" s="32">
        <v>5845.8819999999996</v>
      </c>
      <c r="T28" s="32">
        <v>5655.509</v>
      </c>
      <c r="U28" s="32">
        <v>7278.63</v>
      </c>
      <c r="V28" s="81">
        <v>0.15659999999999999</v>
      </c>
      <c r="W28" s="81">
        <v>0.15759999999999999</v>
      </c>
      <c r="X28" s="81">
        <v>0.19980000000000001</v>
      </c>
      <c r="Y28" s="81">
        <v>0.1535</v>
      </c>
      <c r="Z28" s="81">
        <v>0.15429999999999999</v>
      </c>
      <c r="AA28" s="81">
        <v>0.1966</v>
      </c>
      <c r="AB28" s="32">
        <f t="shared" si="4"/>
        <v>37325.459283387623</v>
      </c>
      <c r="AC28" s="32">
        <f t="shared" si="5"/>
        <v>35898.152948801042</v>
      </c>
      <c r="AD28" s="32">
        <f t="shared" si="6"/>
        <v>36430.345879959306</v>
      </c>
      <c r="AE28" s="32">
        <v>1879.855</v>
      </c>
      <c r="AF28" s="32">
        <v>64.593999999999994</v>
      </c>
      <c r="AG28" s="32">
        <v>1078.652</v>
      </c>
      <c r="AH28" s="32">
        <v>1996.278</v>
      </c>
      <c r="AI28" s="32">
        <v>129.18799999999999</v>
      </c>
      <c r="AJ28" s="32">
        <v>1195.075</v>
      </c>
      <c r="AK28" s="81">
        <v>5.2400000000000002E-2</v>
      </c>
      <c r="AL28" s="81">
        <v>3.5999999999999999E-3</v>
      </c>
      <c r="AM28" s="81">
        <v>3.2800000000000003E-2</v>
      </c>
      <c r="AN28" s="81">
        <v>4.9299999999999997E-2</v>
      </c>
      <c r="AO28" s="81">
        <v>1.8E-3</v>
      </c>
      <c r="AP28" s="81">
        <v>2.9600000000000001E-2</v>
      </c>
      <c r="AQ28" s="32">
        <f t="shared" si="7"/>
        <v>38130.933062880329</v>
      </c>
      <c r="AR28" s="32">
        <f t="shared" si="8"/>
        <v>35885.555555555555</v>
      </c>
      <c r="AS28" s="32">
        <f t="shared" si="9"/>
        <v>36440.945945945947</v>
      </c>
      <c r="AT28" s="32">
        <v>1631.1369999999999</v>
      </c>
      <c r="AU28" s="32">
        <v>0</v>
      </c>
      <c r="AV28" s="31">
        <v>0</v>
      </c>
      <c r="AW28" s="32">
        <v>1631.1369999999999</v>
      </c>
      <c r="AX28" s="31">
        <v>0</v>
      </c>
      <c r="AY28" s="85"/>
    </row>
    <row r="29" spans="1:51" x14ac:dyDescent="0.25">
      <c r="A29" s="31">
        <v>20</v>
      </c>
      <c r="B29" s="86">
        <v>62</v>
      </c>
      <c r="C29" s="86" t="str">
        <f>IF($J$1="ENG","Taskombank","Таскомбанк")</f>
        <v>Taskombank</v>
      </c>
      <c r="D29" s="31" t="str">
        <f>IF($J$1="ENG","Private banks","Банки з приватним капіталом")</f>
        <v>Private banks</v>
      </c>
      <c r="E29" s="32">
        <v>734.86199999999997</v>
      </c>
      <c r="F29" s="32">
        <v>1213.405</v>
      </c>
      <c r="G29" s="81">
        <v>0.113</v>
      </c>
      <c r="H29" s="81">
        <v>6.8500000000000005E-2</v>
      </c>
      <c r="I29" s="32">
        <f t="shared" si="1"/>
        <v>10727.912408759123</v>
      </c>
      <c r="J29" s="121" t="str">
        <f t="shared" si="2"/>
        <v>no</v>
      </c>
      <c r="K29" s="32">
        <v>734.86199999999997</v>
      </c>
      <c r="L29" s="32">
        <v>1179.2819999999999</v>
      </c>
      <c r="M29" s="81">
        <v>0.1101</v>
      </c>
      <c r="N29" s="81">
        <v>6.8599999999999994E-2</v>
      </c>
      <c r="O29" s="32">
        <f t="shared" si="3"/>
        <v>10712.274052478135</v>
      </c>
      <c r="P29" s="32">
        <v>1381.6669999999999</v>
      </c>
      <c r="Q29" s="32">
        <v>1968.6179999999999</v>
      </c>
      <c r="R29" s="32">
        <v>2578.8339999999998</v>
      </c>
      <c r="S29" s="32">
        <v>1739.867</v>
      </c>
      <c r="T29" s="32">
        <v>2332.8110000000001</v>
      </c>
      <c r="U29" s="32">
        <v>2946.0239999999999</v>
      </c>
      <c r="V29" s="81">
        <v>0.16200000000000001</v>
      </c>
      <c r="W29" s="81">
        <v>0.21540000000000001</v>
      </c>
      <c r="X29" s="81">
        <v>0.27100000000000002</v>
      </c>
      <c r="Y29" s="81">
        <v>0.12870000000000001</v>
      </c>
      <c r="Z29" s="81">
        <v>0.18179999999999999</v>
      </c>
      <c r="AA29" s="81">
        <v>0.23719999999999999</v>
      </c>
      <c r="AB29" s="32">
        <f t="shared" si="4"/>
        <v>10735.563325563324</v>
      </c>
      <c r="AC29" s="32">
        <f t="shared" si="5"/>
        <v>10828.48184818482</v>
      </c>
      <c r="AD29" s="32">
        <f t="shared" si="6"/>
        <v>10871.98145025295</v>
      </c>
      <c r="AE29" s="32">
        <v>813.27800000000002</v>
      </c>
      <c r="AF29" s="32">
        <v>1100.972</v>
      </c>
      <c r="AG29" s="32">
        <v>1568.4169999999999</v>
      </c>
      <c r="AH29" s="32">
        <v>1257.3779999999999</v>
      </c>
      <c r="AI29" s="32">
        <v>1572.04</v>
      </c>
      <c r="AJ29" s="32">
        <v>2060.4609999999998</v>
      </c>
      <c r="AK29" s="81">
        <v>0.1101</v>
      </c>
      <c r="AL29" s="81">
        <v>0.13519999999999999</v>
      </c>
      <c r="AM29" s="81">
        <v>0.17419999999999999</v>
      </c>
      <c r="AN29" s="81">
        <v>7.1199999999999999E-2</v>
      </c>
      <c r="AO29" s="81">
        <v>9.4700000000000006E-2</v>
      </c>
      <c r="AP29" s="81">
        <v>0.1326</v>
      </c>
      <c r="AQ29" s="32">
        <f t="shared" si="7"/>
        <v>11422.44382022472</v>
      </c>
      <c r="AR29" s="32">
        <f t="shared" si="8"/>
        <v>11625.892291446673</v>
      </c>
      <c r="AS29" s="32">
        <f t="shared" si="9"/>
        <v>11828.182503770739</v>
      </c>
      <c r="AT29" s="32">
        <v>0</v>
      </c>
      <c r="AU29" s="32">
        <v>0</v>
      </c>
      <c r="AV29" s="82">
        <v>0</v>
      </c>
      <c r="AW29" s="32">
        <v>0</v>
      </c>
      <c r="AX29" s="31">
        <v>0</v>
      </c>
      <c r="AY29" s="85"/>
    </row>
    <row r="30" spans="1:51" x14ac:dyDescent="0.25">
      <c r="A30" s="31">
        <v>21</v>
      </c>
      <c r="B30" s="86">
        <v>274</v>
      </c>
      <c r="C30" s="86" t="str">
        <f>IF($J$1="ENG","Ukrgasbank","Укргазбанк")</f>
        <v>Ukrgasbank</v>
      </c>
      <c r="D30" s="31" t="str">
        <f>IF($J$1="ENG","State-owned banks","Банки з державною часткою")</f>
        <v>State-owned banks</v>
      </c>
      <c r="E30" s="32">
        <v>5142.6620000000003</v>
      </c>
      <c r="F30" s="32">
        <v>5309.6869999999999</v>
      </c>
      <c r="G30" s="81">
        <v>0.13980000000000001</v>
      </c>
      <c r="H30" s="81">
        <v>0.13539999999999999</v>
      </c>
      <c r="I30" s="32">
        <f t="shared" si="1"/>
        <v>37981.255539143283</v>
      </c>
      <c r="J30" s="121" t="str">
        <f t="shared" si="2"/>
        <v>no</v>
      </c>
      <c r="K30" s="32">
        <v>5067.8410000000003</v>
      </c>
      <c r="L30" s="32">
        <v>5228.9309999999996</v>
      </c>
      <c r="M30" s="81">
        <v>0.13819999999999999</v>
      </c>
      <c r="N30" s="81">
        <v>0.13400000000000001</v>
      </c>
      <c r="O30" s="32">
        <f t="shared" si="3"/>
        <v>37819.708955223883</v>
      </c>
      <c r="P30" s="32">
        <v>5620.3</v>
      </c>
      <c r="Q30" s="32">
        <v>7020.8090000000002</v>
      </c>
      <c r="R30" s="32">
        <v>8526.0709999999999</v>
      </c>
      <c r="S30" s="32">
        <v>5766.8040000000001</v>
      </c>
      <c r="T30" s="32">
        <v>7167.3130000000001</v>
      </c>
      <c r="U30" s="32">
        <v>8672.5750000000007</v>
      </c>
      <c r="V30" s="81">
        <v>0.1552</v>
      </c>
      <c r="W30" s="81">
        <v>0.19189999999999999</v>
      </c>
      <c r="X30" s="81">
        <v>0.23169999999999999</v>
      </c>
      <c r="Y30" s="81">
        <v>0.1512</v>
      </c>
      <c r="Z30" s="81">
        <v>0.188</v>
      </c>
      <c r="AA30" s="81">
        <v>0.2278</v>
      </c>
      <c r="AB30" s="32">
        <f t="shared" si="4"/>
        <v>37171.296296296299</v>
      </c>
      <c r="AC30" s="32">
        <f t="shared" si="5"/>
        <v>37344.72872340426</v>
      </c>
      <c r="AD30" s="32">
        <f t="shared" si="6"/>
        <v>37427.879719051802</v>
      </c>
      <c r="AE30" s="32">
        <v>3045.529</v>
      </c>
      <c r="AF30" s="32">
        <v>3134.4969999999998</v>
      </c>
      <c r="AG30" s="32">
        <v>4105.4210000000003</v>
      </c>
      <c r="AH30" s="32">
        <v>3198.2130000000002</v>
      </c>
      <c r="AI30" s="32">
        <v>3287.181</v>
      </c>
      <c r="AJ30" s="32">
        <v>4258.1059999999998</v>
      </c>
      <c r="AK30" s="81">
        <v>8.1699999999999995E-2</v>
      </c>
      <c r="AL30" s="81">
        <v>8.2799999999999999E-2</v>
      </c>
      <c r="AM30" s="81">
        <v>0.10589999999999999</v>
      </c>
      <c r="AN30" s="81">
        <v>7.7799999999999994E-2</v>
      </c>
      <c r="AO30" s="81">
        <v>7.9000000000000001E-2</v>
      </c>
      <c r="AP30" s="81">
        <v>0.1021</v>
      </c>
      <c r="AQ30" s="32">
        <f t="shared" si="7"/>
        <v>39145.616966580979</v>
      </c>
      <c r="AR30" s="32">
        <f t="shared" si="8"/>
        <v>39677.177215189869</v>
      </c>
      <c r="AS30" s="32">
        <f t="shared" si="9"/>
        <v>40209.804113614111</v>
      </c>
      <c r="AT30" s="32">
        <v>0</v>
      </c>
      <c r="AU30" s="32">
        <v>0</v>
      </c>
      <c r="AV30" s="31">
        <v>0</v>
      </c>
      <c r="AW30" s="32">
        <v>0</v>
      </c>
      <c r="AX30" s="31">
        <v>0</v>
      </c>
      <c r="AY30" s="85"/>
    </row>
    <row r="31" spans="1:51" x14ac:dyDescent="0.25">
      <c r="A31" s="31">
        <v>22</v>
      </c>
      <c r="B31" s="86">
        <v>2</v>
      </c>
      <c r="C31" s="86" t="str">
        <f>IF($J$1="ENG","Ukreximbank","Укрексімбанк")</f>
        <v>Ukreximbank</v>
      </c>
      <c r="D31" s="31" t="str">
        <f>IF($J$1="ENG","State-owned banks","Банки з державною часткою")</f>
        <v>State-owned banks</v>
      </c>
      <c r="E31" s="32">
        <v>6223.2929999999997</v>
      </c>
      <c r="F31" s="32">
        <v>10359.601000000001</v>
      </c>
      <c r="G31" s="81">
        <v>0.1391</v>
      </c>
      <c r="H31" s="81">
        <v>8.3599999999999994E-2</v>
      </c>
      <c r="I31" s="32">
        <f t="shared" si="1"/>
        <v>74441.303827751195</v>
      </c>
      <c r="J31" s="121" t="str">
        <f t="shared" si="2"/>
        <v>no</v>
      </c>
      <c r="K31" s="32">
        <v>5590.0780000000004</v>
      </c>
      <c r="L31" s="32">
        <v>9434.2559999999994</v>
      </c>
      <c r="M31" s="81">
        <v>0.12690000000000001</v>
      </c>
      <c r="N31" s="81">
        <v>7.5200000000000003E-2</v>
      </c>
      <c r="O31" s="32">
        <f t="shared" si="3"/>
        <v>74336.143617021284</v>
      </c>
      <c r="P31" s="32">
        <v>7118.6869999999999</v>
      </c>
      <c r="Q31" s="32">
        <v>9327.83</v>
      </c>
      <c r="R31" s="32">
        <v>11673.092000000001</v>
      </c>
      <c r="S31" s="32">
        <v>11088.466</v>
      </c>
      <c r="T31" s="32">
        <v>12643.374</v>
      </c>
      <c r="U31" s="32">
        <v>14281.96</v>
      </c>
      <c r="V31" s="81">
        <v>0.1502</v>
      </c>
      <c r="W31" s="81">
        <v>0.17069999999999999</v>
      </c>
      <c r="X31" s="81">
        <v>0.19170000000000001</v>
      </c>
      <c r="Y31" s="81">
        <v>9.64E-2</v>
      </c>
      <c r="Z31" s="81">
        <v>0.12590000000000001</v>
      </c>
      <c r="AA31" s="81">
        <v>0.15670000000000001</v>
      </c>
      <c r="AB31" s="32">
        <f t="shared" si="4"/>
        <v>73845.300829875516</v>
      </c>
      <c r="AC31" s="32">
        <f t="shared" si="5"/>
        <v>74089.197776012705</v>
      </c>
      <c r="AD31" s="32">
        <f t="shared" si="6"/>
        <v>74493.248245054245</v>
      </c>
      <c r="AE31" s="32">
        <v>-5557.3149999999996</v>
      </c>
      <c r="AF31" s="32">
        <v>-8129.5519999999997</v>
      </c>
      <c r="AG31" s="32">
        <v>-7567.183</v>
      </c>
      <c r="AH31" s="32">
        <v>-5562.8909999999996</v>
      </c>
      <c r="AI31" s="32">
        <v>-8135.1289999999999</v>
      </c>
      <c r="AJ31" s="32">
        <v>-7572.759</v>
      </c>
      <c r="AK31" s="81">
        <v>-7.4700000000000003E-2</v>
      </c>
      <c r="AL31" s="81">
        <v>-0.1091</v>
      </c>
      <c r="AM31" s="81">
        <v>-0.1011</v>
      </c>
      <c r="AN31" s="81">
        <v>-7.4700000000000003E-2</v>
      </c>
      <c r="AO31" s="81">
        <v>-0.109</v>
      </c>
      <c r="AP31" s="81">
        <v>-0.10100000000000001</v>
      </c>
      <c r="AQ31" s="32">
        <f t="shared" si="7"/>
        <v>74395.113788487273</v>
      </c>
      <c r="AR31" s="32">
        <f t="shared" si="8"/>
        <v>74583.045871559632</v>
      </c>
      <c r="AS31" s="32">
        <f t="shared" si="9"/>
        <v>74922.603960396038</v>
      </c>
      <c r="AT31" s="32">
        <v>10972.655000000001</v>
      </c>
      <c r="AU31" s="32">
        <v>0</v>
      </c>
      <c r="AV31" s="31">
        <v>0</v>
      </c>
      <c r="AW31" s="32">
        <v>10972.655000000001</v>
      </c>
      <c r="AX31" s="133">
        <v>0</v>
      </c>
      <c r="AY31" s="85"/>
    </row>
    <row r="32" spans="1:51" x14ac:dyDescent="0.25">
      <c r="A32" s="31">
        <v>23</v>
      </c>
      <c r="B32" s="86">
        <v>136</v>
      </c>
      <c r="C32" s="86" t="str">
        <f>IF($J$1="ENG","Ukrsibbank","УкрСиббанк")</f>
        <v>Ukrsibbank</v>
      </c>
      <c r="D32" s="31" t="str">
        <f>IF($J$1="ENG","Foreign banks","Банки іноземних банківських груп")</f>
        <v>Foreign banks</v>
      </c>
      <c r="E32" s="32">
        <v>3840.268</v>
      </c>
      <c r="F32" s="32">
        <v>6230.9840000000004</v>
      </c>
      <c r="G32" s="81">
        <v>0.22650000000000001</v>
      </c>
      <c r="H32" s="81">
        <v>0.1396</v>
      </c>
      <c r="I32" s="32">
        <f t="shared" si="1"/>
        <v>27509.083094555874</v>
      </c>
      <c r="J32" s="121" t="str">
        <f t="shared" si="2"/>
        <v>no</v>
      </c>
      <c r="K32" s="32">
        <v>3840.268</v>
      </c>
      <c r="L32" s="32">
        <v>6170.3429999999998</v>
      </c>
      <c r="M32" s="81">
        <v>0.22220000000000001</v>
      </c>
      <c r="N32" s="81">
        <v>0.13830000000000001</v>
      </c>
      <c r="O32" s="32">
        <f t="shared" si="3"/>
        <v>27767.664497469268</v>
      </c>
      <c r="P32" s="32">
        <v>4869.5240000000003</v>
      </c>
      <c r="Q32" s="32">
        <v>6109.2640000000001</v>
      </c>
      <c r="R32" s="32">
        <v>7406.4780000000001</v>
      </c>
      <c r="S32" s="32">
        <v>5303.4459999999999</v>
      </c>
      <c r="T32" s="32">
        <v>5912.982</v>
      </c>
      <c r="U32" s="32">
        <v>7148.8010000000004</v>
      </c>
      <c r="V32" s="81">
        <v>0.19339999999999999</v>
      </c>
      <c r="W32" s="81">
        <v>0.21529999999999999</v>
      </c>
      <c r="X32" s="81">
        <v>0.2601</v>
      </c>
      <c r="Y32" s="81">
        <v>0.17760000000000001</v>
      </c>
      <c r="Z32" s="81">
        <v>0.22239999999999999</v>
      </c>
      <c r="AA32" s="81">
        <v>0.26950000000000002</v>
      </c>
      <c r="AB32" s="32">
        <f t="shared" si="4"/>
        <v>27418.490990990991</v>
      </c>
      <c r="AC32" s="32">
        <f t="shared" si="5"/>
        <v>27469.712230215831</v>
      </c>
      <c r="AD32" s="32">
        <f t="shared" si="6"/>
        <v>27482.29313543599</v>
      </c>
      <c r="AE32" s="32">
        <v>4691.3829999999998</v>
      </c>
      <c r="AF32" s="32">
        <v>5960.6980000000003</v>
      </c>
      <c r="AG32" s="32">
        <v>7386.4759999999997</v>
      </c>
      <c r="AH32" s="32">
        <v>5333.268</v>
      </c>
      <c r="AI32" s="32">
        <v>5786.9129999999996</v>
      </c>
      <c r="AJ32" s="32">
        <v>7128.8</v>
      </c>
      <c r="AK32" s="81">
        <v>0.19500000000000001</v>
      </c>
      <c r="AL32" s="81">
        <v>0.2117</v>
      </c>
      <c r="AM32" s="81">
        <v>0.26019999999999999</v>
      </c>
      <c r="AN32" s="81">
        <v>0.1716</v>
      </c>
      <c r="AO32" s="81">
        <v>0.218</v>
      </c>
      <c r="AP32" s="81">
        <v>0.26960000000000001</v>
      </c>
      <c r="AQ32" s="32">
        <f t="shared" si="7"/>
        <v>27339.06177156177</v>
      </c>
      <c r="AR32" s="32">
        <f t="shared" si="8"/>
        <v>27342.65137614679</v>
      </c>
      <c r="AS32" s="32">
        <f t="shared" si="9"/>
        <v>27397.908011869433</v>
      </c>
      <c r="AT32" s="32">
        <v>0</v>
      </c>
      <c r="AU32" s="32">
        <v>0</v>
      </c>
      <c r="AV32" s="82">
        <v>0</v>
      </c>
      <c r="AW32" s="32">
        <v>0</v>
      </c>
      <c r="AX32" s="31">
        <v>0</v>
      </c>
      <c r="AY32" s="85"/>
    </row>
    <row r="33" spans="1:51" x14ac:dyDescent="0.25">
      <c r="A33" s="31">
        <v>24</v>
      </c>
      <c r="B33" s="86">
        <v>242</v>
      </c>
      <c r="C33" s="86" t="str">
        <f>IF($J$1="ENG","Universal","Універсал")</f>
        <v>Universal</v>
      </c>
      <c r="D33" s="31" t="str">
        <f>IF($J$1="ENG","Private banks","Банки з приватним капіталом")</f>
        <v>Private banks</v>
      </c>
      <c r="E33" s="32">
        <v>413.32600000000002</v>
      </c>
      <c r="F33" s="32">
        <v>413.32600000000002</v>
      </c>
      <c r="G33" s="81">
        <v>0.1459</v>
      </c>
      <c r="H33" s="81">
        <v>0.1459</v>
      </c>
      <c r="I33" s="32">
        <f t="shared" si="1"/>
        <v>2832.9403701165184</v>
      </c>
      <c r="J33" s="121" t="str">
        <f t="shared" si="2"/>
        <v>no</v>
      </c>
      <c r="K33" s="32">
        <v>-247.47900000000001</v>
      </c>
      <c r="L33" s="32">
        <v>-247.47900000000001</v>
      </c>
      <c r="M33" s="81">
        <v>-0.1114</v>
      </c>
      <c r="N33" s="81">
        <v>-0.1114</v>
      </c>
      <c r="O33" s="32">
        <f t="shared" si="3"/>
        <v>2221.5350089766607</v>
      </c>
      <c r="P33" s="32">
        <v>-229.15199999999999</v>
      </c>
      <c r="Q33" s="32">
        <v>-188.518</v>
      </c>
      <c r="R33" s="32">
        <v>-149.083</v>
      </c>
      <c r="S33" s="32">
        <v>-229.15199999999999</v>
      </c>
      <c r="T33" s="32">
        <v>-188.518</v>
      </c>
      <c r="U33" s="32">
        <v>-149.083</v>
      </c>
      <c r="V33" s="81">
        <v>-0.10580000000000001</v>
      </c>
      <c r="W33" s="81">
        <v>-8.8200000000000001E-2</v>
      </c>
      <c r="X33" s="81">
        <v>-7.0699999999999999E-2</v>
      </c>
      <c r="Y33" s="81">
        <v>-0.10580000000000001</v>
      </c>
      <c r="Z33" s="81">
        <v>-8.8200000000000001E-2</v>
      </c>
      <c r="AA33" s="81">
        <v>-7.0699999999999999E-2</v>
      </c>
      <c r="AB33" s="32">
        <f t="shared" si="4"/>
        <v>2165.8979206049148</v>
      </c>
      <c r="AC33" s="32">
        <f t="shared" si="5"/>
        <v>2137.3922902494332</v>
      </c>
      <c r="AD33" s="32">
        <f t="shared" si="6"/>
        <v>2108.6704384724185</v>
      </c>
      <c r="AE33" s="32">
        <v>-630.87</v>
      </c>
      <c r="AF33" s="32">
        <v>-736.15899999999999</v>
      </c>
      <c r="AG33" s="32">
        <v>-761.18499999999995</v>
      </c>
      <c r="AH33" s="32">
        <v>-630.87</v>
      </c>
      <c r="AI33" s="32">
        <v>-736.15899999999999</v>
      </c>
      <c r="AJ33" s="32">
        <v>-761.18499999999995</v>
      </c>
      <c r="AK33" s="81">
        <v>-0.31290000000000001</v>
      </c>
      <c r="AL33" s="81">
        <v>-0.38540000000000002</v>
      </c>
      <c r="AM33" s="81">
        <v>-0.4133</v>
      </c>
      <c r="AN33" s="81">
        <v>-0.31290000000000001</v>
      </c>
      <c r="AO33" s="81">
        <v>-0.38540000000000002</v>
      </c>
      <c r="AP33" s="81">
        <v>-0.4133</v>
      </c>
      <c r="AQ33" s="32">
        <f t="shared" si="7"/>
        <v>2016.2032598274209</v>
      </c>
      <c r="AR33" s="32">
        <f t="shared" si="8"/>
        <v>1910.1167618059158</v>
      </c>
      <c r="AS33" s="32">
        <f t="shared" si="9"/>
        <v>1841.7251391241227</v>
      </c>
      <c r="AT33" s="32">
        <v>853.39400000000001</v>
      </c>
      <c r="AU33" s="32">
        <v>469.55599999999998</v>
      </c>
      <c r="AV33" s="31">
        <v>0</v>
      </c>
      <c r="AW33" s="32">
        <v>853.39400000000001</v>
      </c>
      <c r="AX33" s="31">
        <v>0</v>
      </c>
      <c r="AY33" s="85"/>
    </row>
    <row r="34" spans="1:51" x14ac:dyDescent="0.25">
      <c r="AT34" s="85"/>
      <c r="AU34" s="85"/>
      <c r="AV34" s="85"/>
      <c r="AW34" s="85"/>
      <c r="AX34" s="85"/>
    </row>
    <row r="35" spans="1:51" x14ac:dyDescent="0.25">
      <c r="A35" s="29" t="str">
        <f>IF($J$1="ENG","Note:","Примітки:")</f>
        <v>Note:</v>
      </c>
      <c r="AT35" s="85"/>
      <c r="AU35" s="85"/>
      <c r="AV35" s="85"/>
      <c r="AW35" s="85"/>
      <c r="AX35" s="85"/>
    </row>
    <row r="36" spans="1:51" x14ac:dyDescent="0.25">
      <c r="A36" s="29" t="str">
        <f>IF($J$1="ENG","Foreign banks do not include banks with state Russian capital.","Банки іноземних банківських груп не виключають банки із державним російським капіталом.")</f>
        <v>Foreign banks do not include banks with state Russian capital.</v>
      </c>
      <c r="E36" s="85"/>
    </row>
    <row r="37" spans="1:51" x14ac:dyDescent="0.25">
      <c r="A37" s="29" t="str">
        <f>IF($J$1="ENG","","ОК - основний капітал, РК - регулятивний капітал.")</f>
        <v/>
      </c>
      <c r="E37" s="85"/>
    </row>
    <row r="38" spans="1:51" x14ac:dyDescent="0.25">
      <c r="E38" s="85"/>
    </row>
    <row r="39" spans="1:51" x14ac:dyDescent="0.25">
      <c r="A39" s="132" t="str">
        <f>IF($J$1="ENG","On 11 June, 2019 data on residual capital need for Ukreximbank were updated. The NBU verified measures taken and reports no capital need.","11 червня 2019 року оновлено дані щодо залишкової потреби капіталу для Укрексімбанку. З урахуванням верифікованих НБУ заходів потреба в капіталі відсутня.")</f>
        <v>On 11 June, 2019 data on residual capital need for Ukreximbank were updated. The NBU verified measures taken and reports no capital need.</v>
      </c>
      <c r="E39" s="85"/>
    </row>
    <row r="40" spans="1:51" x14ac:dyDescent="0.25">
      <c r="E40" s="85"/>
    </row>
    <row r="41" spans="1:51" x14ac:dyDescent="0.25">
      <c r="E41" s="85"/>
    </row>
    <row r="42" spans="1:51" x14ac:dyDescent="0.25">
      <c r="E42" s="85"/>
    </row>
    <row r="43" spans="1:51" x14ac:dyDescent="0.25">
      <c r="E43" s="85"/>
    </row>
    <row r="44" spans="1:51" x14ac:dyDescent="0.25">
      <c r="E44" s="85"/>
    </row>
    <row r="45" spans="1:51" x14ac:dyDescent="0.25">
      <c r="E45" s="85"/>
    </row>
    <row r="46" spans="1:51" x14ac:dyDescent="0.25">
      <c r="E46" s="85"/>
    </row>
  </sheetData>
  <sheetProtection password="E2D0" sheet="1" objects="1" scenarios="1"/>
  <mergeCells count="39">
    <mergeCell ref="AW7:AW8"/>
    <mergeCell ref="AH8:AJ8"/>
    <mergeCell ref="AK8:AM8"/>
    <mergeCell ref="AN8:AP8"/>
    <mergeCell ref="AT4:AX4"/>
    <mergeCell ref="AT5:AT8"/>
    <mergeCell ref="AU5:AX5"/>
    <mergeCell ref="AX7:AX8"/>
    <mergeCell ref="AW6:AX6"/>
    <mergeCell ref="AU6:AV6"/>
    <mergeCell ref="AE4:AS5"/>
    <mergeCell ref="AQ6:AS6"/>
    <mergeCell ref="AN6:AP6"/>
    <mergeCell ref="A4:A8"/>
    <mergeCell ref="B4:B8"/>
    <mergeCell ref="C4:C8"/>
    <mergeCell ref="AU7:AU8"/>
    <mergeCell ref="AV7:AV8"/>
    <mergeCell ref="P8:R8"/>
    <mergeCell ref="P6:R6"/>
    <mergeCell ref="S6:U6"/>
    <mergeCell ref="V6:X6"/>
    <mergeCell ref="Y6:AA6"/>
    <mergeCell ref="S8:U8"/>
    <mergeCell ref="V8:X8"/>
    <mergeCell ref="Y8:AA8"/>
    <mergeCell ref="AE8:AG8"/>
    <mergeCell ref="AB8:AD8"/>
    <mergeCell ref="AQ8:AS8"/>
    <mergeCell ref="P4:AD5"/>
    <mergeCell ref="AB6:AD6"/>
    <mergeCell ref="AE6:AG6"/>
    <mergeCell ref="AK6:AM6"/>
    <mergeCell ref="AH6:AJ6"/>
    <mergeCell ref="D4:D8"/>
    <mergeCell ref="E4:I5"/>
    <mergeCell ref="J4:O5"/>
    <mergeCell ref="E7:I8"/>
    <mergeCell ref="J7:O8"/>
  </mergeCells>
  <pageMargins left="0.7" right="0.7" top="0.75" bottom="0.75" header="0.3" footer="0.3"/>
  <pageSetup paperSize="9" orientation="portrait" r:id="rId1"/>
  <ignoredErrors>
    <ignoredError sqref="AV7:AW7 D11 D16:D33" 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outlinePr summaryRight="0"/>
    <pageSetUpPr fitToPage="1"/>
  </sheetPr>
  <dimension ref="A1:AW46"/>
  <sheetViews>
    <sheetView topLeftCell="D31" zoomScale="80" zoomScaleNormal="80" zoomScaleSheetLayoutView="85" workbookViewId="0">
      <selection activeCell="L46" sqref="L46"/>
    </sheetView>
  </sheetViews>
  <sheetFormatPr defaultRowHeight="14.4" outlineLevelCol="1" x14ac:dyDescent="0.3"/>
  <cols>
    <col min="1" max="1" width="8.44140625" hidden="1" customWidth="1"/>
    <col min="2" max="2" width="27.6640625" hidden="1" customWidth="1"/>
    <col min="3" max="3" width="4.6640625" hidden="1" customWidth="1"/>
    <col min="4" max="4" width="6" customWidth="1"/>
    <col min="5" max="5" width="33.44140625" customWidth="1"/>
    <col min="6" max="7" width="11.88671875" customWidth="1" outlineLevel="1"/>
    <col min="8" max="9" width="9.44140625" customWidth="1" outlineLevel="1"/>
    <col min="10" max="10" width="16" customWidth="1" outlineLevel="1"/>
    <col min="11" max="11" width="11.88671875" customWidth="1" outlineLevel="1"/>
    <col min="12" max="12" width="12.109375" customWidth="1" outlineLevel="1"/>
    <col min="13" max="14" width="10.44140625" customWidth="1" outlineLevel="1"/>
    <col min="15" max="15" width="12" customWidth="1" outlineLevel="1"/>
    <col min="16" max="16" width="12.33203125" customWidth="1" outlineLevel="1"/>
    <col min="17" max="20" width="13.44140625" customWidth="1" outlineLevel="1"/>
    <col min="21" max="26" width="10.44140625" customWidth="1" outlineLevel="1"/>
    <col min="27" max="27" width="14.5546875" customWidth="1" outlineLevel="1"/>
    <col min="28" max="28" width="12" customWidth="1" outlineLevel="1"/>
    <col min="29" max="29" width="12.109375" customWidth="1" outlineLevel="1"/>
    <col min="30" max="30" width="12.88671875" customWidth="1" outlineLevel="1"/>
    <col min="31" max="32" width="11.88671875" customWidth="1" outlineLevel="1"/>
    <col min="33" max="33" width="9.44140625" customWidth="1" outlineLevel="1"/>
    <col min="34" max="35" width="11.6640625" customWidth="1" outlineLevel="1"/>
    <col min="36" max="36" width="9.88671875" customWidth="1" outlineLevel="1"/>
    <col min="37" max="38" width="11.6640625" customWidth="1" outlineLevel="1"/>
    <col min="39" max="39" width="22.88671875" customWidth="1"/>
    <col min="40" max="41" width="21.109375" customWidth="1" outlineLevel="1"/>
    <col min="42" max="42" width="10.44140625" hidden="1" customWidth="1"/>
    <col min="43" max="43" width="0" hidden="1" customWidth="1"/>
    <col min="44" max="44" width="27.33203125" customWidth="1"/>
    <col min="45" max="46" width="26.33203125" customWidth="1" outlineLevel="1"/>
    <col min="47" max="48" width="24.33203125" customWidth="1" outlineLevel="1"/>
    <col min="49" max="49" width="24.44140625" customWidth="1" outlineLevel="1"/>
  </cols>
  <sheetData>
    <row r="1" spans="4:49" ht="18.600000000000001" hidden="1" thickBot="1" x14ac:dyDescent="0.35">
      <c r="D1" s="182"/>
      <c r="Y1" s="4" t="s">
        <v>39</v>
      </c>
    </row>
    <row r="2" spans="4:49" ht="18.600000000000001" hidden="1" thickBot="1" x14ac:dyDescent="0.35">
      <c r="D2" s="182"/>
      <c r="Y2" s="4" t="s">
        <v>40</v>
      </c>
    </row>
    <row r="3" spans="4:49" ht="18.600000000000001" hidden="1" thickBot="1" x14ac:dyDescent="0.35">
      <c r="D3" s="182"/>
      <c r="Y3" s="4" t="s">
        <v>41</v>
      </c>
    </row>
    <row r="4" spans="4:49" ht="18.600000000000001" hidden="1" thickBot="1" x14ac:dyDescent="0.35">
      <c r="D4" s="5" t="s">
        <v>42</v>
      </c>
    </row>
    <row r="5" spans="4:49" ht="18.600000000000001" hidden="1" thickBot="1" x14ac:dyDescent="0.35">
      <c r="D5" s="5"/>
    </row>
    <row r="6" spans="4:49" ht="18.600000000000001" hidden="1" thickBot="1" x14ac:dyDescent="0.35">
      <c r="D6" s="5" t="s">
        <v>43</v>
      </c>
    </row>
    <row r="7" spans="4:49" ht="15" hidden="1" thickBot="1" x14ac:dyDescent="0.35">
      <c r="D7" s="6"/>
    </row>
    <row r="8" spans="4:49" ht="18.600000000000001" hidden="1" thickBot="1" x14ac:dyDescent="0.4">
      <c r="D8" s="7"/>
    </row>
    <row r="9" spans="4:49" ht="18.600000000000001" hidden="1" thickBot="1" x14ac:dyDescent="0.35">
      <c r="D9" s="5" t="s">
        <v>44</v>
      </c>
    </row>
    <row r="10" spans="4:49" ht="18.600000000000001" hidden="1" thickBot="1" x14ac:dyDescent="0.35">
      <c r="D10" s="5"/>
    </row>
    <row r="11" spans="4:49" ht="18.600000000000001" hidden="1" thickBot="1" x14ac:dyDescent="0.35">
      <c r="D11" s="5" t="s">
        <v>45</v>
      </c>
    </row>
    <row r="12" spans="4:49" s="8" customFormat="1" ht="15" customHeight="1" x14ac:dyDescent="0.3">
      <c r="D12" s="183" t="s">
        <v>78</v>
      </c>
      <c r="E12" s="183" t="s">
        <v>77</v>
      </c>
      <c r="F12" s="173" t="s">
        <v>46</v>
      </c>
      <c r="G12" s="173"/>
      <c r="H12" s="173"/>
      <c r="I12" s="173"/>
      <c r="J12" s="173" t="s">
        <v>66</v>
      </c>
      <c r="K12" s="173"/>
      <c r="L12" s="173"/>
      <c r="M12" s="173"/>
      <c r="N12" s="173"/>
      <c r="O12" s="173" t="s">
        <v>47</v>
      </c>
      <c r="P12" s="173"/>
      <c r="Q12" s="173"/>
      <c r="R12" s="173"/>
      <c r="S12" s="173"/>
      <c r="T12" s="173"/>
      <c r="U12" s="173"/>
      <c r="V12" s="173"/>
      <c r="W12" s="173"/>
      <c r="X12" s="173"/>
      <c r="Y12" s="173"/>
      <c r="Z12" s="173"/>
      <c r="AA12" s="173" t="s">
        <v>48</v>
      </c>
      <c r="AB12" s="173"/>
      <c r="AC12" s="173"/>
      <c r="AD12" s="173"/>
      <c r="AE12" s="173"/>
      <c r="AF12" s="173"/>
      <c r="AG12" s="173"/>
      <c r="AH12" s="173"/>
      <c r="AI12" s="173"/>
      <c r="AJ12" s="173"/>
      <c r="AK12" s="173"/>
      <c r="AL12" s="174"/>
      <c r="AM12" s="180" t="s">
        <v>68</v>
      </c>
      <c r="AN12" s="176" t="s">
        <v>69</v>
      </c>
      <c r="AO12" s="173" t="s">
        <v>70</v>
      </c>
      <c r="AP12" s="173" t="s">
        <v>49</v>
      </c>
      <c r="AQ12" s="173"/>
      <c r="AR12" s="180" t="s">
        <v>71</v>
      </c>
      <c r="AS12" s="173" t="s">
        <v>72</v>
      </c>
      <c r="AT12" s="173" t="s">
        <v>73</v>
      </c>
      <c r="AU12" s="173" t="s">
        <v>74</v>
      </c>
      <c r="AV12" s="173" t="s">
        <v>75</v>
      </c>
      <c r="AW12" s="173" t="s">
        <v>76</v>
      </c>
    </row>
    <row r="13" spans="4:49" s="8" customFormat="1" ht="78.75" customHeight="1" x14ac:dyDescent="0.3">
      <c r="D13" s="183"/>
      <c r="E13" s="18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4"/>
      <c r="AM13" s="181"/>
      <c r="AN13" s="176"/>
      <c r="AO13" s="173"/>
      <c r="AP13" s="173"/>
      <c r="AQ13" s="173"/>
      <c r="AR13" s="181"/>
      <c r="AS13" s="173"/>
      <c r="AT13" s="173"/>
      <c r="AU13" s="173"/>
      <c r="AV13" s="173"/>
      <c r="AW13" s="173"/>
    </row>
    <row r="14" spans="4:49" s="9" customFormat="1" ht="30" customHeight="1" x14ac:dyDescent="0.3">
      <c r="D14" s="183"/>
      <c r="E14" s="183"/>
      <c r="F14" s="177" t="s">
        <v>50</v>
      </c>
      <c r="G14" s="177" t="s">
        <v>51</v>
      </c>
      <c r="H14" s="177" t="s">
        <v>52</v>
      </c>
      <c r="I14" s="177" t="s">
        <v>53</v>
      </c>
      <c r="J14" s="178" t="s">
        <v>54</v>
      </c>
      <c r="K14" s="177" t="s">
        <v>50</v>
      </c>
      <c r="L14" s="177" t="s">
        <v>51</v>
      </c>
      <c r="M14" s="177" t="s">
        <v>52</v>
      </c>
      <c r="N14" s="177" t="s">
        <v>53</v>
      </c>
      <c r="O14" s="173" t="s">
        <v>50</v>
      </c>
      <c r="P14" s="173"/>
      <c r="Q14" s="173"/>
      <c r="R14" s="173" t="s">
        <v>51</v>
      </c>
      <c r="S14" s="173"/>
      <c r="T14" s="173"/>
      <c r="U14" s="173" t="s">
        <v>52</v>
      </c>
      <c r="V14" s="173"/>
      <c r="W14" s="173"/>
      <c r="X14" s="173" t="s">
        <v>53</v>
      </c>
      <c r="Y14" s="173"/>
      <c r="Z14" s="173"/>
      <c r="AA14" s="173" t="s">
        <v>50</v>
      </c>
      <c r="AB14" s="173"/>
      <c r="AC14" s="173"/>
      <c r="AD14" s="173" t="s">
        <v>51</v>
      </c>
      <c r="AE14" s="173"/>
      <c r="AF14" s="173"/>
      <c r="AG14" s="173" t="s">
        <v>52</v>
      </c>
      <c r="AH14" s="173"/>
      <c r="AI14" s="173"/>
      <c r="AJ14" s="173" t="s">
        <v>53</v>
      </c>
      <c r="AK14" s="173"/>
      <c r="AL14" s="174"/>
      <c r="AM14" s="181"/>
      <c r="AN14" s="176"/>
      <c r="AO14" s="173"/>
      <c r="AP14" s="173" t="s">
        <v>55</v>
      </c>
      <c r="AQ14" s="173" t="s">
        <v>56</v>
      </c>
      <c r="AR14" s="181"/>
      <c r="AS14" s="173"/>
      <c r="AT14" s="173"/>
      <c r="AU14" s="173"/>
      <c r="AV14" s="173"/>
      <c r="AW14" s="173"/>
    </row>
    <row r="15" spans="4:49" s="9" customFormat="1" ht="30" customHeight="1" x14ac:dyDescent="0.3">
      <c r="D15" s="183"/>
      <c r="E15" s="183"/>
      <c r="F15" s="177"/>
      <c r="G15" s="177"/>
      <c r="H15" s="177"/>
      <c r="I15" s="177"/>
      <c r="J15" s="179"/>
      <c r="K15" s="177"/>
      <c r="L15" s="177"/>
      <c r="M15" s="177"/>
      <c r="N15" s="177"/>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4"/>
      <c r="AM15" s="181"/>
      <c r="AN15" s="176"/>
      <c r="AO15" s="173"/>
      <c r="AP15" s="173"/>
      <c r="AQ15" s="173"/>
      <c r="AR15" s="181"/>
      <c r="AS15" s="173"/>
      <c r="AT15" s="173"/>
      <c r="AU15" s="173"/>
      <c r="AV15" s="173"/>
      <c r="AW15" s="173"/>
    </row>
    <row r="16" spans="4:49" s="9" customFormat="1" ht="18" x14ac:dyDescent="0.3">
      <c r="D16" s="183"/>
      <c r="E16" s="183"/>
      <c r="F16" s="173" t="s">
        <v>57</v>
      </c>
      <c r="G16" s="173"/>
      <c r="H16" s="173"/>
      <c r="I16" s="173"/>
      <c r="J16" s="173" t="s">
        <v>57</v>
      </c>
      <c r="K16" s="173"/>
      <c r="L16" s="173"/>
      <c r="M16" s="173"/>
      <c r="N16" s="173"/>
      <c r="O16" s="25" t="s">
        <v>58</v>
      </c>
      <c r="P16" s="25" t="s">
        <v>59</v>
      </c>
      <c r="Q16" s="25" t="s">
        <v>60</v>
      </c>
      <c r="R16" s="25" t="s">
        <v>58</v>
      </c>
      <c r="S16" s="25" t="s">
        <v>59</v>
      </c>
      <c r="T16" s="25" t="s">
        <v>60</v>
      </c>
      <c r="U16" s="25" t="s">
        <v>58</v>
      </c>
      <c r="V16" s="25" t="s">
        <v>59</v>
      </c>
      <c r="W16" s="25" t="s">
        <v>60</v>
      </c>
      <c r="X16" s="25" t="s">
        <v>58</v>
      </c>
      <c r="Y16" s="25" t="s">
        <v>59</v>
      </c>
      <c r="Z16" s="25" t="s">
        <v>60</v>
      </c>
      <c r="AA16" s="25" t="s">
        <v>58</v>
      </c>
      <c r="AB16" s="25" t="s">
        <v>59</v>
      </c>
      <c r="AC16" s="25" t="s">
        <v>60</v>
      </c>
      <c r="AD16" s="25" t="s">
        <v>58</v>
      </c>
      <c r="AE16" s="25" t="s">
        <v>59</v>
      </c>
      <c r="AF16" s="25" t="s">
        <v>60</v>
      </c>
      <c r="AG16" s="25" t="s">
        <v>58</v>
      </c>
      <c r="AH16" s="25" t="s">
        <v>59</v>
      </c>
      <c r="AI16" s="25" t="s">
        <v>60</v>
      </c>
      <c r="AJ16" s="25" t="s">
        <v>58</v>
      </c>
      <c r="AK16" s="25" t="s">
        <v>59</v>
      </c>
      <c r="AL16" s="27" t="s">
        <v>60</v>
      </c>
      <c r="AM16" s="181"/>
      <c r="AN16" s="176"/>
      <c r="AO16" s="173"/>
      <c r="AP16" s="173"/>
      <c r="AQ16" s="173"/>
      <c r="AR16" s="181"/>
      <c r="AS16" s="173"/>
      <c r="AT16" s="173"/>
      <c r="AU16" s="173"/>
      <c r="AV16" s="173"/>
      <c r="AW16" s="173"/>
    </row>
    <row r="17" spans="1:49" s="9" customFormat="1" ht="18" x14ac:dyDescent="0.3">
      <c r="C17" s="9" t="s">
        <v>64</v>
      </c>
      <c r="D17" s="183"/>
      <c r="E17" s="183"/>
      <c r="F17" s="173"/>
      <c r="G17" s="173"/>
      <c r="H17" s="173"/>
      <c r="I17" s="173"/>
      <c r="J17" s="173"/>
      <c r="K17" s="173"/>
      <c r="L17" s="173"/>
      <c r="M17" s="173"/>
      <c r="N17" s="173"/>
      <c r="O17" s="173" t="s">
        <v>61</v>
      </c>
      <c r="P17" s="173"/>
      <c r="Q17" s="173"/>
      <c r="R17" s="173" t="s">
        <v>61</v>
      </c>
      <c r="S17" s="173"/>
      <c r="T17" s="173"/>
      <c r="U17" s="173" t="s">
        <v>61</v>
      </c>
      <c r="V17" s="173"/>
      <c r="W17" s="173"/>
      <c r="X17" s="173" t="s">
        <v>61</v>
      </c>
      <c r="Y17" s="173"/>
      <c r="Z17" s="173"/>
      <c r="AA17" s="174" t="s">
        <v>61</v>
      </c>
      <c r="AB17" s="175"/>
      <c r="AC17" s="176"/>
      <c r="AD17" s="174" t="s">
        <v>61</v>
      </c>
      <c r="AE17" s="175"/>
      <c r="AF17" s="176"/>
      <c r="AG17" s="174" t="s">
        <v>61</v>
      </c>
      <c r="AH17" s="175"/>
      <c r="AI17" s="176"/>
      <c r="AJ17" s="174" t="s">
        <v>61</v>
      </c>
      <c r="AK17" s="175"/>
      <c r="AL17" s="175"/>
      <c r="AM17" s="181"/>
      <c r="AN17" s="176"/>
      <c r="AO17" s="173"/>
      <c r="AP17" s="173"/>
      <c r="AQ17" s="173"/>
      <c r="AR17" s="181"/>
      <c r="AS17" s="173"/>
      <c r="AT17" s="173"/>
      <c r="AU17" s="173"/>
      <c r="AV17" s="173"/>
      <c r="AW17" s="173"/>
    </row>
    <row r="18" spans="1:49" s="9" customFormat="1" ht="18" hidden="1" x14ac:dyDescent="0.3">
      <c r="B18" s="9" t="s">
        <v>67</v>
      </c>
      <c r="D18" s="26">
        <v>1</v>
      </c>
      <c r="E18" s="26">
        <v>2</v>
      </c>
      <c r="F18" s="26">
        <v>3</v>
      </c>
      <c r="G18" s="26">
        <v>4</v>
      </c>
      <c r="H18" s="26">
        <v>5</v>
      </c>
      <c r="I18" s="26">
        <v>6</v>
      </c>
      <c r="J18" s="26">
        <v>7</v>
      </c>
      <c r="K18" s="26">
        <v>8</v>
      </c>
      <c r="L18" s="26">
        <v>9</v>
      </c>
      <c r="M18" s="26">
        <v>10</v>
      </c>
      <c r="N18" s="26">
        <v>11</v>
      </c>
      <c r="O18" s="26">
        <v>12</v>
      </c>
      <c r="P18" s="26">
        <v>13</v>
      </c>
      <c r="Q18" s="26">
        <v>14</v>
      </c>
      <c r="R18" s="26">
        <v>15</v>
      </c>
      <c r="S18" s="26">
        <v>16</v>
      </c>
      <c r="T18" s="26">
        <v>17</v>
      </c>
      <c r="U18" s="26">
        <v>18</v>
      </c>
      <c r="V18" s="26">
        <v>19</v>
      </c>
      <c r="W18" s="26">
        <v>20</v>
      </c>
      <c r="X18" s="26">
        <v>21</v>
      </c>
      <c r="Y18" s="26">
        <v>22</v>
      </c>
      <c r="Z18" s="26">
        <v>23</v>
      </c>
      <c r="AA18" s="26">
        <v>24</v>
      </c>
      <c r="AB18" s="26">
        <v>25</v>
      </c>
      <c r="AC18" s="26">
        <v>26</v>
      </c>
      <c r="AD18" s="26">
        <v>27</v>
      </c>
      <c r="AE18" s="26">
        <v>28</v>
      </c>
      <c r="AF18" s="26">
        <v>29</v>
      </c>
      <c r="AG18" s="26">
        <v>30</v>
      </c>
      <c r="AH18" s="26">
        <v>31</v>
      </c>
      <c r="AI18" s="26">
        <v>32</v>
      </c>
      <c r="AJ18" s="26">
        <v>33</v>
      </c>
      <c r="AK18" s="26">
        <v>34</v>
      </c>
      <c r="AL18" s="19">
        <v>35</v>
      </c>
      <c r="AM18" s="23">
        <v>36</v>
      </c>
      <c r="AN18" s="21"/>
      <c r="AO18" s="26"/>
      <c r="AP18" s="25">
        <v>37</v>
      </c>
      <c r="AQ18" s="25">
        <v>38</v>
      </c>
      <c r="AR18" s="23">
        <v>39</v>
      </c>
      <c r="AS18" s="26"/>
      <c r="AT18" s="21"/>
      <c r="AU18" s="26"/>
      <c r="AV18" s="26"/>
      <c r="AW18" s="26"/>
    </row>
    <row r="19" spans="1:49" ht="15.6" x14ac:dyDescent="0.3">
      <c r="B19" t="s">
        <v>110</v>
      </c>
      <c r="C19">
        <v>142</v>
      </c>
      <c r="D19" s="10">
        <v>23</v>
      </c>
      <c r="E19" s="10" t="s">
        <v>79</v>
      </c>
      <c r="F19" s="11">
        <v>218213.65832999995</v>
      </c>
      <c r="G19" s="11">
        <v>436427.31665999989</v>
      </c>
      <c r="H19" s="12">
        <v>0.15412694253958623</v>
      </c>
      <c r="I19" s="12">
        <v>7.7063471269793113E-2</v>
      </c>
      <c r="J19" s="13" t="s">
        <v>62</v>
      </c>
      <c r="K19" s="11">
        <v>218213.65832999995</v>
      </c>
      <c r="L19" s="11">
        <v>436427.31665999989</v>
      </c>
      <c r="M19" s="12">
        <v>0.15207657917092976</v>
      </c>
      <c r="N19" s="12">
        <v>7.603828958546488E-2</v>
      </c>
      <c r="O19" s="11">
        <v>899128.13373985502</v>
      </c>
      <c r="P19" s="11">
        <v>1467963.9498339959</v>
      </c>
      <c r="Q19" s="11">
        <v>2060566.1415962509</v>
      </c>
      <c r="R19" s="11">
        <v>995552.02633796888</v>
      </c>
      <c r="S19" s="11">
        <v>1548861.9735953838</v>
      </c>
      <c r="T19" s="11">
        <v>2124895.5142856105</v>
      </c>
      <c r="U19" s="12">
        <v>0.34727267292301695</v>
      </c>
      <c r="V19" s="12">
        <v>0.54009025717248615</v>
      </c>
      <c r="W19" s="12">
        <v>0.74082330832797449</v>
      </c>
      <c r="X19" s="12">
        <v>0.31363768245510409</v>
      </c>
      <c r="Y19" s="12">
        <v>0.51188100728263908</v>
      </c>
      <c r="Z19" s="12">
        <v>0.71839552381904215</v>
      </c>
      <c r="AA19" s="11">
        <v>813857.8754421554</v>
      </c>
      <c r="AB19" s="11">
        <v>1220057.9142930198</v>
      </c>
      <c r="AC19" s="11">
        <v>1743343.6788080989</v>
      </c>
      <c r="AD19" s="11">
        <v>931042.22044382803</v>
      </c>
      <c r="AE19" s="11">
        <v>1320383.9464906354</v>
      </c>
      <c r="AF19" s="11">
        <v>1822987.8633388819</v>
      </c>
      <c r="AG19" s="12">
        <v>0.32445770921865963</v>
      </c>
      <c r="AH19" s="12">
        <v>0.46532601350328118</v>
      </c>
      <c r="AI19" s="12">
        <v>0.63093282634037884</v>
      </c>
      <c r="AJ19" s="12">
        <v>0.28362028713332499</v>
      </c>
      <c r="AK19" s="12">
        <v>0.42996939413722662</v>
      </c>
      <c r="AL19" s="20">
        <v>0.6033681170748183</v>
      </c>
      <c r="AM19" s="24">
        <v>0</v>
      </c>
      <c r="AN19" s="22">
        <v>0</v>
      </c>
      <c r="AO19" s="14">
        <v>0</v>
      </c>
      <c r="AP19" s="15"/>
      <c r="AQ19" s="15"/>
      <c r="AR19" s="24">
        <v>0</v>
      </c>
      <c r="AS19" s="14">
        <v>0</v>
      </c>
      <c r="AT19" s="22">
        <v>0</v>
      </c>
      <c r="AU19" s="14">
        <v>0</v>
      </c>
      <c r="AV19" s="14">
        <v>0</v>
      </c>
      <c r="AW19" s="14">
        <v>0</v>
      </c>
    </row>
    <row r="20" spans="1:49" ht="15.6" x14ac:dyDescent="0.3">
      <c r="B20" t="s">
        <v>107</v>
      </c>
      <c r="C20">
        <v>171</v>
      </c>
      <c r="D20" s="10">
        <v>13</v>
      </c>
      <c r="E20" s="10" t="s">
        <v>80</v>
      </c>
      <c r="F20" s="11">
        <v>1909602.8695799999</v>
      </c>
      <c r="G20" s="11">
        <v>3669949.8691400001</v>
      </c>
      <c r="H20" s="12">
        <v>0.2084350077553225</v>
      </c>
      <c r="I20" s="12">
        <v>0.10845600161393092</v>
      </c>
      <c r="J20" s="13" t="s">
        <v>62</v>
      </c>
      <c r="K20" s="11">
        <v>1909602.8695799999</v>
      </c>
      <c r="L20" s="11">
        <v>3525510.12414</v>
      </c>
      <c r="M20" s="12">
        <v>0.18595760969666308</v>
      </c>
      <c r="N20" s="12">
        <v>0.10072448315082019</v>
      </c>
      <c r="O20" s="11">
        <v>3570996.2795483293</v>
      </c>
      <c r="P20" s="11">
        <v>4987154.3100875728</v>
      </c>
      <c r="Q20" s="11">
        <v>6477029.8368457146</v>
      </c>
      <c r="R20" s="11">
        <v>4545118.6960244859</v>
      </c>
      <c r="S20" s="11">
        <v>5815467.0036619501</v>
      </c>
      <c r="T20" s="11">
        <v>7089914.1084756078</v>
      </c>
      <c r="U20" s="12">
        <v>0.22275035563966583</v>
      </c>
      <c r="V20" s="12">
        <v>0.28408326911226078</v>
      </c>
      <c r="W20" s="12">
        <v>0.34537619422172638</v>
      </c>
      <c r="X20" s="12">
        <v>0.17500988300989107</v>
      </c>
      <c r="Y20" s="12">
        <v>0.2436205207741447</v>
      </c>
      <c r="Z20" s="12">
        <v>0.31552031247263146</v>
      </c>
      <c r="AA20" s="11">
        <v>3154061.545912514</v>
      </c>
      <c r="AB20" s="11">
        <v>4358213.9072609851</v>
      </c>
      <c r="AC20" s="11">
        <v>5722740.9058973249</v>
      </c>
      <c r="AD20" s="11">
        <v>4421101.8918185644</v>
      </c>
      <c r="AE20" s="11">
        <v>5490052.1426588502</v>
      </c>
      <c r="AF20" s="11">
        <v>6595321.9027941218</v>
      </c>
      <c r="AG20" s="12">
        <v>0.21674067714328371</v>
      </c>
      <c r="AH20" s="12">
        <v>0.26897545481211604</v>
      </c>
      <c r="AI20" s="12">
        <v>0.32171121329466035</v>
      </c>
      <c r="AJ20" s="12">
        <v>0.15462512557734218</v>
      </c>
      <c r="AK20" s="12">
        <v>0.21352302991174998</v>
      </c>
      <c r="AL20" s="20">
        <v>0.27914784863301956</v>
      </c>
      <c r="AM20" s="24">
        <v>0</v>
      </c>
      <c r="AN20" s="22">
        <v>0</v>
      </c>
      <c r="AO20" s="14">
        <v>0</v>
      </c>
      <c r="AP20" s="15"/>
      <c r="AQ20" s="15"/>
      <c r="AR20" s="24">
        <v>0</v>
      </c>
      <c r="AS20" s="14">
        <v>0</v>
      </c>
      <c r="AT20" s="22">
        <v>0</v>
      </c>
      <c r="AU20" s="14">
        <v>0</v>
      </c>
      <c r="AV20" s="14">
        <v>0</v>
      </c>
      <c r="AW20" s="14">
        <v>0</v>
      </c>
    </row>
    <row r="21" spans="1:49" ht="15.6" x14ac:dyDescent="0.3">
      <c r="B21" t="s">
        <v>113</v>
      </c>
      <c r="C21">
        <v>296</v>
      </c>
      <c r="D21" s="10">
        <v>11</v>
      </c>
      <c r="E21" s="10" t="s">
        <v>81</v>
      </c>
      <c r="F21" s="11">
        <v>2444281.2114800001</v>
      </c>
      <c r="G21" s="11">
        <v>3234495.4954000004</v>
      </c>
      <c r="H21" s="12">
        <v>0.15656107001485914</v>
      </c>
      <c r="I21" s="12">
        <v>0.11831189204955136</v>
      </c>
      <c r="J21" s="13" t="s">
        <v>62</v>
      </c>
      <c r="K21" s="11">
        <v>2444281.2114800001</v>
      </c>
      <c r="L21" s="11">
        <v>3286547.0755500002</v>
      </c>
      <c r="M21" s="12">
        <v>0.15781799321815085</v>
      </c>
      <c r="N21" s="12">
        <v>0.11737289829997311</v>
      </c>
      <c r="O21" s="11">
        <v>4351741.7346325386</v>
      </c>
      <c r="P21" s="11">
        <v>5566799.1228299215</v>
      </c>
      <c r="Q21" s="11">
        <v>6856775.056589514</v>
      </c>
      <c r="R21" s="11">
        <v>4351741.7079225387</v>
      </c>
      <c r="S21" s="11">
        <v>5566799.0961199217</v>
      </c>
      <c r="T21" s="11">
        <v>6856775.0298795141</v>
      </c>
      <c r="U21" s="12">
        <v>0.20858354778260044</v>
      </c>
      <c r="V21" s="12">
        <v>0.26557413379372219</v>
      </c>
      <c r="W21" s="12">
        <v>0.3265849115701232</v>
      </c>
      <c r="X21" s="12">
        <v>0.20858354906283877</v>
      </c>
      <c r="Y21" s="12">
        <v>0.26557413506797067</v>
      </c>
      <c r="Z21" s="12">
        <v>0.32658491284230773</v>
      </c>
      <c r="AA21" s="11">
        <v>3188791.0158522883</v>
      </c>
      <c r="AB21" s="11">
        <v>4032431.3474911423</v>
      </c>
      <c r="AC21" s="11">
        <v>5177743.5061464701</v>
      </c>
      <c r="AD21" s="11">
        <v>3188790.9891422885</v>
      </c>
      <c r="AE21" s="11">
        <v>4032431.3207811425</v>
      </c>
      <c r="AF21" s="11">
        <v>5177743.4794364702</v>
      </c>
      <c r="AG21" s="12">
        <v>0.15694033174006483</v>
      </c>
      <c r="AH21" s="12">
        <v>0.1991722291107344</v>
      </c>
      <c r="AI21" s="12">
        <v>0.25461003378797231</v>
      </c>
      <c r="AJ21" s="12">
        <v>0.15694033305463084</v>
      </c>
      <c r="AK21" s="12">
        <v>0.19917223043001048</v>
      </c>
      <c r="AL21" s="20">
        <v>0.25461003510140817</v>
      </c>
      <c r="AM21" s="24">
        <v>0</v>
      </c>
      <c r="AN21" s="22">
        <v>0</v>
      </c>
      <c r="AO21" s="14">
        <v>0</v>
      </c>
      <c r="AP21" s="15"/>
      <c r="AQ21" s="15"/>
      <c r="AR21" s="24">
        <v>0</v>
      </c>
      <c r="AS21" s="14">
        <v>0</v>
      </c>
      <c r="AT21" s="22">
        <v>0</v>
      </c>
      <c r="AU21" s="14">
        <v>0</v>
      </c>
      <c r="AV21" s="14">
        <v>0</v>
      </c>
      <c r="AW21" s="14">
        <v>0</v>
      </c>
    </row>
    <row r="22" spans="1:49" ht="15.6" x14ac:dyDescent="0.3">
      <c r="B22" t="s">
        <v>100</v>
      </c>
      <c r="C22">
        <v>36</v>
      </c>
      <c r="D22" s="10">
        <v>4</v>
      </c>
      <c r="E22" s="10" t="s">
        <v>82</v>
      </c>
      <c r="F22" s="11">
        <v>5138703.4658999993</v>
      </c>
      <c r="G22" s="11">
        <v>9488384.1121699996</v>
      </c>
      <c r="H22" s="12">
        <v>0.19482285739276137</v>
      </c>
      <c r="I22" s="12">
        <v>0.10551184276326303</v>
      </c>
      <c r="J22" s="13" t="s">
        <v>62</v>
      </c>
      <c r="K22" s="11">
        <v>5138703.4658999993</v>
      </c>
      <c r="L22" s="11">
        <v>9322092.8639889993</v>
      </c>
      <c r="M22" s="12">
        <v>0.19168312184909658</v>
      </c>
      <c r="N22" s="12">
        <v>0.10566326006100242</v>
      </c>
      <c r="O22" s="11">
        <v>9740995.903322693</v>
      </c>
      <c r="P22" s="11">
        <v>14837748.464522414</v>
      </c>
      <c r="Q22" s="11">
        <v>19940623.651353091</v>
      </c>
      <c r="R22" s="11">
        <v>10158527.770902691</v>
      </c>
      <c r="S22" s="11">
        <v>15255280.332102412</v>
      </c>
      <c r="T22" s="11">
        <v>20358155.518933091</v>
      </c>
      <c r="U22" s="12">
        <v>0.2083448147531507</v>
      </c>
      <c r="V22" s="12">
        <v>0.31084769961441505</v>
      </c>
      <c r="W22" s="12">
        <v>0.41371655729495016</v>
      </c>
      <c r="X22" s="12">
        <v>0.19978150700164157</v>
      </c>
      <c r="Y22" s="12">
        <v>0.30233990311854647</v>
      </c>
      <c r="Z22" s="12">
        <v>0.40523151322229434</v>
      </c>
      <c r="AA22" s="11">
        <v>9331611.8892062604</v>
      </c>
      <c r="AB22" s="11">
        <v>14367614.928520702</v>
      </c>
      <c r="AC22" s="11">
        <v>19657806.801964425</v>
      </c>
      <c r="AD22" s="11">
        <v>9754070.7001562603</v>
      </c>
      <c r="AE22" s="11">
        <v>14790073.739470702</v>
      </c>
      <c r="AF22" s="11">
        <v>20080265.612914424</v>
      </c>
      <c r="AG22" s="12">
        <v>0.19173640008130555</v>
      </c>
      <c r="AH22" s="12">
        <v>0.28747109645676017</v>
      </c>
      <c r="AI22" s="12">
        <v>0.38498484158832508</v>
      </c>
      <c r="AJ22" s="12">
        <v>0.18343209984767242</v>
      </c>
      <c r="AK22" s="12">
        <v>0.27925986642972433</v>
      </c>
      <c r="AL22" s="20">
        <v>0.37688533525975454</v>
      </c>
      <c r="AM22" s="24">
        <v>0</v>
      </c>
      <c r="AN22" s="22">
        <v>0</v>
      </c>
      <c r="AO22" s="14">
        <v>0</v>
      </c>
      <c r="AP22" s="15"/>
      <c r="AQ22" s="15"/>
      <c r="AR22" s="24">
        <v>0</v>
      </c>
      <c r="AS22" s="14">
        <v>0</v>
      </c>
      <c r="AT22" s="22">
        <v>0</v>
      </c>
      <c r="AU22" s="14">
        <v>0</v>
      </c>
      <c r="AV22" s="14">
        <v>0</v>
      </c>
      <c r="AW22" s="14">
        <v>0</v>
      </c>
    </row>
    <row r="23" spans="1:49" ht="15.6" x14ac:dyDescent="0.3">
      <c r="B23" t="s">
        <v>116</v>
      </c>
      <c r="C23">
        <v>136</v>
      </c>
      <c r="D23" s="10">
        <v>8</v>
      </c>
      <c r="E23" s="10" t="s">
        <v>83</v>
      </c>
      <c r="F23" s="11">
        <v>3840268.0966999996</v>
      </c>
      <c r="G23" s="11">
        <v>6230984.456079999</v>
      </c>
      <c r="H23" s="12">
        <v>0.22650446340226524</v>
      </c>
      <c r="I23" s="12">
        <v>0.13959878582510526</v>
      </c>
      <c r="J23" s="13" t="s">
        <v>62</v>
      </c>
      <c r="K23" s="11">
        <v>3840268.0966999996</v>
      </c>
      <c r="L23" s="11">
        <v>6170342.9316099994</v>
      </c>
      <c r="M23" s="12">
        <v>0.22223614897298308</v>
      </c>
      <c r="N23" s="12">
        <v>0.13831425615945941</v>
      </c>
      <c r="O23" s="11">
        <v>4869523.9169803225</v>
      </c>
      <c r="P23" s="11">
        <v>6109264.1370436698</v>
      </c>
      <c r="Q23" s="11">
        <v>7406477.7230546931</v>
      </c>
      <c r="R23" s="11">
        <v>5303445.7703906493</v>
      </c>
      <c r="S23" s="11">
        <v>5912981.9449149221</v>
      </c>
      <c r="T23" s="11">
        <v>7148801.2274046931</v>
      </c>
      <c r="U23" s="12">
        <v>0.19342168643190952</v>
      </c>
      <c r="V23" s="12">
        <v>0.21526505578803762</v>
      </c>
      <c r="W23" s="12">
        <v>0.26013035485039565</v>
      </c>
      <c r="X23" s="12">
        <v>0.17759614577400948</v>
      </c>
      <c r="Y23" s="12">
        <v>0.22241080685449063</v>
      </c>
      <c r="Z23" s="12">
        <v>0.26950667909243575</v>
      </c>
      <c r="AA23" s="11">
        <v>4691382.6455001077</v>
      </c>
      <c r="AB23" s="11">
        <v>5960698.054972983</v>
      </c>
      <c r="AC23" s="11">
        <v>7386476.1892523365</v>
      </c>
      <c r="AD23" s="11">
        <v>5333267.6388376663</v>
      </c>
      <c r="AE23" s="11">
        <v>5786913.09050442</v>
      </c>
      <c r="AF23" s="11">
        <v>7128799.6936023366</v>
      </c>
      <c r="AG23" s="12">
        <v>0.19502717244590881</v>
      </c>
      <c r="AH23" s="12">
        <v>0.2116731322945587</v>
      </c>
      <c r="AI23" s="12">
        <v>0.26015530908838902</v>
      </c>
      <c r="AJ23" s="12">
        <v>0.17155469295238618</v>
      </c>
      <c r="AK23" s="12">
        <v>0.21802982146535682</v>
      </c>
      <c r="AL23" s="20">
        <v>0.26955884281802928</v>
      </c>
      <c r="AM23" s="24">
        <v>0</v>
      </c>
      <c r="AN23" s="22">
        <v>0</v>
      </c>
      <c r="AO23" s="14">
        <v>0</v>
      </c>
      <c r="AP23" s="15"/>
      <c r="AQ23" s="15"/>
      <c r="AR23" s="24">
        <v>0</v>
      </c>
      <c r="AS23" s="14">
        <v>0</v>
      </c>
      <c r="AT23" s="22">
        <v>0</v>
      </c>
      <c r="AU23" s="14">
        <v>0</v>
      </c>
      <c r="AV23" s="14">
        <v>0</v>
      </c>
      <c r="AW23" s="14">
        <v>0</v>
      </c>
    </row>
    <row r="24" spans="1:49" ht="15.6" x14ac:dyDescent="0.3">
      <c r="B24" t="s">
        <v>117</v>
      </c>
      <c r="C24">
        <v>305</v>
      </c>
      <c r="D24" s="10">
        <v>21</v>
      </c>
      <c r="E24" s="10" t="s">
        <v>84</v>
      </c>
      <c r="F24" s="11">
        <v>447657.08088999998</v>
      </c>
      <c r="G24" s="11">
        <v>659618.35829999996</v>
      </c>
      <c r="H24" s="12">
        <v>0.12404962348693778</v>
      </c>
      <c r="I24" s="12">
        <v>8.4187608845189041E-2</v>
      </c>
      <c r="J24" s="13" t="s">
        <v>62</v>
      </c>
      <c r="K24" s="11">
        <v>447657.08088999998</v>
      </c>
      <c r="L24" s="11">
        <v>615745.84627379873</v>
      </c>
      <c r="M24" s="12">
        <v>0.11643821762137223</v>
      </c>
      <c r="N24" s="12">
        <v>8.4652446979301785E-2</v>
      </c>
      <c r="O24" s="11">
        <v>496081.21615971066</v>
      </c>
      <c r="P24" s="11">
        <v>540495.63571453432</v>
      </c>
      <c r="Q24" s="11">
        <v>591691.59776582115</v>
      </c>
      <c r="R24" s="11">
        <v>561900.09255842958</v>
      </c>
      <c r="S24" s="11">
        <v>600513.11238371581</v>
      </c>
      <c r="T24" s="11">
        <v>652308.37457023398</v>
      </c>
      <c r="U24" s="12">
        <v>0.10776045075876411</v>
      </c>
      <c r="V24" s="12">
        <v>0.11404433686156838</v>
      </c>
      <c r="W24" s="12">
        <v>0.12324218806381856</v>
      </c>
      <c r="X24" s="12">
        <v>9.5137794377151585E-2</v>
      </c>
      <c r="Y24" s="12">
        <v>0.10264632874868665</v>
      </c>
      <c r="Z24" s="12">
        <v>0.1117897148195898</v>
      </c>
      <c r="AA24" s="11">
        <v>160970.14897073276</v>
      </c>
      <c r="AB24" s="11">
        <v>26529.211245073704</v>
      </c>
      <c r="AC24" s="11">
        <v>-43242.210092108347</v>
      </c>
      <c r="AD24" s="11">
        <v>243968.96257941605</v>
      </c>
      <c r="AE24" s="11">
        <v>53058.422490147408</v>
      </c>
      <c r="AF24" s="11">
        <v>-43242.210092108347</v>
      </c>
      <c r="AG24" s="12">
        <v>4.2168415999799057E-2</v>
      </c>
      <c r="AH24" s="12">
        <v>8.9072334119993483E-3</v>
      </c>
      <c r="AI24" s="12">
        <v>-7.1108333082928509E-3</v>
      </c>
      <c r="AJ24" s="12">
        <v>2.7822621917072431E-2</v>
      </c>
      <c r="AK24" s="12">
        <v>4.4536167059996742E-3</v>
      </c>
      <c r="AL24" s="20">
        <v>-7.1108333082928509E-3</v>
      </c>
      <c r="AM24" s="24">
        <v>0</v>
      </c>
      <c r="AN24" s="22">
        <v>0</v>
      </c>
      <c r="AO24" s="14">
        <v>0</v>
      </c>
      <c r="AP24" s="15"/>
      <c r="AQ24" s="15"/>
      <c r="AR24" s="24">
        <v>294090.61125195853</v>
      </c>
      <c r="AS24" s="14">
        <v>0</v>
      </c>
      <c r="AT24" s="22">
        <v>0</v>
      </c>
      <c r="AU24" s="14">
        <v>41525.332251996901</v>
      </c>
      <c r="AV24" s="14">
        <v>200572.99477905396</v>
      </c>
      <c r="AW24" s="14">
        <v>294090.61125195853</v>
      </c>
    </row>
    <row r="25" spans="1:49" ht="15.6" x14ac:dyDescent="0.3">
      <c r="B25" t="s">
        <v>115</v>
      </c>
      <c r="C25">
        <v>62</v>
      </c>
      <c r="D25" s="10">
        <v>15</v>
      </c>
      <c r="E25" s="10" t="s">
        <v>98</v>
      </c>
      <c r="F25" s="11">
        <v>734861.84195999999</v>
      </c>
      <c r="G25" s="11">
        <v>1213405.3096699999</v>
      </c>
      <c r="H25" s="12">
        <v>0.11304672666974998</v>
      </c>
      <c r="I25" s="12">
        <v>6.8463295096898844E-2</v>
      </c>
      <c r="J25" s="13" t="s">
        <v>62</v>
      </c>
      <c r="K25" s="11">
        <v>734861.84195999999</v>
      </c>
      <c r="L25" s="11">
        <v>1179282.3397723085</v>
      </c>
      <c r="M25" s="12">
        <v>0.11006091326009911</v>
      </c>
      <c r="N25" s="12">
        <v>6.8583716314900595E-2</v>
      </c>
      <c r="O25" s="11">
        <v>1381666.7198751587</v>
      </c>
      <c r="P25" s="11">
        <v>1968617.9937228719</v>
      </c>
      <c r="Q25" s="11">
        <v>2578834.3260196773</v>
      </c>
      <c r="R25" s="11">
        <v>1739867.1290887529</v>
      </c>
      <c r="S25" s="11">
        <v>2332811.4042887795</v>
      </c>
      <c r="T25" s="11">
        <v>2946024.2372617414</v>
      </c>
      <c r="U25" s="12">
        <v>0.16202917347596296</v>
      </c>
      <c r="V25" s="12">
        <v>0.21541544856956149</v>
      </c>
      <c r="W25" s="12">
        <v>0.27097126057158888</v>
      </c>
      <c r="X25" s="12">
        <v>0.12867092716319539</v>
      </c>
      <c r="Y25" s="12">
        <v>0.18178526022304492</v>
      </c>
      <c r="Z25" s="12">
        <v>0.23719763717095016</v>
      </c>
      <c r="AA25" s="11">
        <v>813278.335197662</v>
      </c>
      <c r="AB25" s="11">
        <v>1100971.8374430914</v>
      </c>
      <c r="AC25" s="11">
        <v>1568416.925047802</v>
      </c>
      <c r="AD25" s="11">
        <v>1257378.4304610784</v>
      </c>
      <c r="AE25" s="11">
        <v>1572040.4387919169</v>
      </c>
      <c r="AF25" s="11">
        <v>2060461.0311297236</v>
      </c>
      <c r="AG25" s="12">
        <v>0.11007210950326787</v>
      </c>
      <c r="AH25" s="12">
        <v>0.13518594340874662</v>
      </c>
      <c r="AI25" s="12">
        <v>0.17415812293831945</v>
      </c>
      <c r="AJ25" s="12">
        <v>7.1195162728921554E-2</v>
      </c>
      <c r="AK25" s="12">
        <v>9.4676900694477747E-2</v>
      </c>
      <c r="AL25" s="20">
        <v>0.13256865503602858</v>
      </c>
      <c r="AM25" s="24">
        <v>15175.217872291571</v>
      </c>
      <c r="AN25" s="22">
        <v>15175.217872291571</v>
      </c>
      <c r="AO25" s="14">
        <v>0</v>
      </c>
      <c r="AP25" s="15"/>
      <c r="AQ25" s="15"/>
      <c r="AR25" s="24">
        <v>0</v>
      </c>
      <c r="AS25" s="14">
        <v>0</v>
      </c>
      <c r="AT25" s="22">
        <v>0</v>
      </c>
      <c r="AU25" s="14">
        <v>0</v>
      </c>
      <c r="AV25" s="14">
        <v>0</v>
      </c>
      <c r="AW25" s="14">
        <v>0</v>
      </c>
    </row>
    <row r="26" spans="1:49" ht="15.6" x14ac:dyDescent="0.3">
      <c r="B26" t="s">
        <v>101</v>
      </c>
      <c r="C26">
        <v>106</v>
      </c>
      <c r="D26" s="10">
        <v>12</v>
      </c>
      <c r="E26" s="10" t="s">
        <v>85</v>
      </c>
      <c r="F26" s="11">
        <v>1741568.1806400002</v>
      </c>
      <c r="G26" s="11">
        <v>2101519.10886</v>
      </c>
      <c r="H26" s="12">
        <v>0.10372800182115251</v>
      </c>
      <c r="I26" s="12">
        <v>8.5961334660945868E-2</v>
      </c>
      <c r="J26" s="13" t="s">
        <v>62</v>
      </c>
      <c r="K26" s="11">
        <v>1741568.1806400002</v>
      </c>
      <c r="L26" s="11">
        <v>1996470.1274300129</v>
      </c>
      <c r="M26" s="12">
        <v>9.8865040962274942E-2</v>
      </c>
      <c r="N26" s="12">
        <v>8.6242316953276874E-2</v>
      </c>
      <c r="O26" s="11">
        <v>1843391.3057007582</v>
      </c>
      <c r="P26" s="11">
        <v>1982615.1615173477</v>
      </c>
      <c r="Q26" s="11">
        <v>2471005.4103041254</v>
      </c>
      <c r="R26" s="11">
        <v>1946836.4527736052</v>
      </c>
      <c r="S26" s="11">
        <v>2065639.4848848567</v>
      </c>
      <c r="T26" s="11">
        <v>2532709.9597634492</v>
      </c>
      <c r="U26" s="12">
        <v>9.833304243779345E-2</v>
      </c>
      <c r="V26" s="12">
        <v>0.1050868745937884</v>
      </c>
      <c r="W26" s="12">
        <v>0.1279564104820701</v>
      </c>
      <c r="X26" s="12">
        <v>9.3108116624119594E-2</v>
      </c>
      <c r="Y26" s="12">
        <v>0.10086311399964877</v>
      </c>
      <c r="Z26" s="12">
        <v>0.12483900154671539</v>
      </c>
      <c r="AA26" s="11">
        <v>-611184.4170479835</v>
      </c>
      <c r="AB26" s="11">
        <v>-1319036.4567405917</v>
      </c>
      <c r="AC26" s="11">
        <v>-1104699.6104301959</v>
      </c>
      <c r="AD26" s="11">
        <v>-653607.10302798345</v>
      </c>
      <c r="AE26" s="11">
        <v>-1361459.1427205917</v>
      </c>
      <c r="AF26" s="11">
        <v>-1147122.296410196</v>
      </c>
      <c r="AG26" s="12">
        <v>-3.1166815516659133E-2</v>
      </c>
      <c r="AH26" s="12">
        <v>-6.4294874848962139E-2</v>
      </c>
      <c r="AI26" s="12">
        <v>-5.2515114501299073E-2</v>
      </c>
      <c r="AJ26" s="12">
        <v>-2.9143918241622612E-2</v>
      </c>
      <c r="AK26" s="12">
        <v>-6.229146453700047E-2</v>
      </c>
      <c r="AL26" s="20">
        <v>-5.0573009270963885E-2</v>
      </c>
      <c r="AM26" s="24">
        <v>33003.084892683662</v>
      </c>
      <c r="AN26" s="22">
        <v>22919.242156986846</v>
      </c>
      <c r="AO26" s="14">
        <v>33003.084892683662</v>
      </c>
      <c r="AP26" s="15"/>
      <c r="AQ26" s="15"/>
      <c r="AR26" s="24">
        <v>2280802.8160412726</v>
      </c>
      <c r="AS26" s="14">
        <v>0</v>
      </c>
      <c r="AT26" s="22">
        <v>0</v>
      </c>
      <c r="AU26" s="14">
        <v>1345178.1930162639</v>
      </c>
      <c r="AV26" s="14">
        <v>2280802.8160412726</v>
      </c>
      <c r="AW26" s="14">
        <v>2005948.9622664421</v>
      </c>
    </row>
    <row r="27" spans="1:49" ht="15.6" x14ac:dyDescent="0.3">
      <c r="B27" t="s">
        <v>111</v>
      </c>
      <c r="C27">
        <v>88</v>
      </c>
      <c r="D27" s="10">
        <v>17</v>
      </c>
      <c r="E27" s="10" t="s">
        <v>86</v>
      </c>
      <c r="F27" s="11">
        <v>879994.54108999996</v>
      </c>
      <c r="G27" s="11">
        <v>1410536.5251999998</v>
      </c>
      <c r="H27" s="12">
        <v>0.15713000225616688</v>
      </c>
      <c r="I27" s="12">
        <v>9.8029041968466887E-2</v>
      </c>
      <c r="J27" s="13" t="s">
        <v>62</v>
      </c>
      <c r="K27" s="11">
        <v>882661.37587000011</v>
      </c>
      <c r="L27" s="11">
        <v>1391992.4305499999</v>
      </c>
      <c r="M27" s="12">
        <v>0.1553559219467438</v>
      </c>
      <c r="N27" s="12">
        <v>9.8511075782850441E-2</v>
      </c>
      <c r="O27" s="11">
        <v>1769076.9245709169</v>
      </c>
      <c r="P27" s="11">
        <v>2305503.3155991845</v>
      </c>
      <c r="Q27" s="11">
        <v>2895789.5978495171</v>
      </c>
      <c r="R27" s="11">
        <v>1878144.799240917</v>
      </c>
      <c r="S27" s="11">
        <v>2414571.1902691843</v>
      </c>
      <c r="T27" s="11">
        <v>3004857.4725195169</v>
      </c>
      <c r="U27" s="12">
        <v>0.20892808074708796</v>
      </c>
      <c r="V27" s="12">
        <v>0.26734027674795352</v>
      </c>
      <c r="W27" s="12">
        <v>0.33174132831241748</v>
      </c>
      <c r="X27" s="12">
        <v>0.19679518144391553</v>
      </c>
      <c r="Y27" s="12">
        <v>0.25526432888768846</v>
      </c>
      <c r="Z27" s="12">
        <v>0.31970005116362155</v>
      </c>
      <c r="AA27" s="11">
        <v>1490351.4841455529</v>
      </c>
      <c r="AB27" s="11">
        <v>1957229.676493464</v>
      </c>
      <c r="AC27" s="11">
        <v>2575523.32653161</v>
      </c>
      <c r="AD27" s="11">
        <v>1602086.1935955528</v>
      </c>
      <c r="AE27" s="11">
        <v>2068964.385943464</v>
      </c>
      <c r="AF27" s="11">
        <v>2687258.03598161</v>
      </c>
      <c r="AG27" s="12">
        <v>0.17429245547760941</v>
      </c>
      <c r="AH27" s="12">
        <v>0.22278559485730265</v>
      </c>
      <c r="AI27" s="12">
        <v>0.2841367906437065</v>
      </c>
      <c r="AJ27" s="12">
        <v>0.1621367319279225</v>
      </c>
      <c r="AK27" s="12">
        <v>0.21075402781818478</v>
      </c>
      <c r="AL27" s="20">
        <v>0.27232253934311151</v>
      </c>
      <c r="AM27" s="24">
        <v>0</v>
      </c>
      <c r="AN27" s="22">
        <v>0</v>
      </c>
      <c r="AO27" s="14">
        <v>0</v>
      </c>
      <c r="AP27" s="15"/>
      <c r="AQ27" s="15"/>
      <c r="AR27" s="24">
        <v>0</v>
      </c>
      <c r="AS27" s="14">
        <v>0</v>
      </c>
      <c r="AT27" s="22">
        <v>0</v>
      </c>
      <c r="AU27" s="14">
        <v>0</v>
      </c>
      <c r="AV27" s="14">
        <v>0</v>
      </c>
      <c r="AW27" s="14">
        <v>0</v>
      </c>
    </row>
    <row r="28" spans="1:49" ht="15.6" x14ac:dyDescent="0.3">
      <c r="B28" t="s">
        <v>114</v>
      </c>
      <c r="C28">
        <v>299</v>
      </c>
      <c r="D28" s="10">
        <v>9</v>
      </c>
      <c r="E28" s="10" t="s">
        <v>87</v>
      </c>
      <c r="F28" s="11">
        <v>4740200.2330799997</v>
      </c>
      <c r="G28" s="11">
        <v>5360720.7470299993</v>
      </c>
      <c r="H28" s="12">
        <v>0.14171677147566658</v>
      </c>
      <c r="I28" s="12">
        <v>0.12531260345028758</v>
      </c>
      <c r="J28" s="13" t="s">
        <v>62</v>
      </c>
      <c r="K28" s="11">
        <v>4735199.7023903895</v>
      </c>
      <c r="L28" s="11">
        <v>4851623.2700103894</v>
      </c>
      <c r="M28" s="12">
        <v>0.12944754052246005</v>
      </c>
      <c r="N28" s="12">
        <v>0.12634121019784128</v>
      </c>
      <c r="O28" s="11">
        <v>5729458.2517695213</v>
      </c>
      <c r="P28" s="11">
        <v>5539085.3989216108</v>
      </c>
      <c r="Q28" s="11">
        <v>7162206.2728411658</v>
      </c>
      <c r="R28" s="11">
        <v>5845881.8193895211</v>
      </c>
      <c r="S28" s="11">
        <v>5655508.9665416107</v>
      </c>
      <c r="T28" s="11">
        <v>7278629.8404611656</v>
      </c>
      <c r="U28" s="12">
        <v>0.15661185663452235</v>
      </c>
      <c r="V28" s="12">
        <v>0.15755000718098175</v>
      </c>
      <c r="W28" s="12">
        <v>0.19976989483693169</v>
      </c>
      <c r="X28" s="12">
        <v>0.15349285566181931</v>
      </c>
      <c r="Y28" s="12">
        <v>0.15430670334695334</v>
      </c>
      <c r="Z28" s="12">
        <v>0.19657452367920372</v>
      </c>
      <c r="AA28" s="11">
        <v>1879854.5208031032</v>
      </c>
      <c r="AB28" s="11">
        <v>64594.15040595457</v>
      </c>
      <c r="AC28" s="11">
        <v>1078651.5768886155</v>
      </c>
      <c r="AD28" s="11">
        <v>1996278.0884231033</v>
      </c>
      <c r="AE28" s="11">
        <v>129188.30081190914</v>
      </c>
      <c r="AF28" s="11">
        <v>1195075.1445086156</v>
      </c>
      <c r="AG28" s="12">
        <v>5.2391092314098595E-2</v>
      </c>
      <c r="AH28" s="12">
        <v>3.5644942184500702E-3</v>
      </c>
      <c r="AI28" s="12">
        <v>3.2797509701650594E-2</v>
      </c>
      <c r="AJ28" s="12">
        <v>4.9335627289416442E-2</v>
      </c>
      <c r="AK28" s="12">
        <v>1.7822471092250351E-3</v>
      </c>
      <c r="AL28" s="20">
        <v>2.9602394226223516E-2</v>
      </c>
      <c r="AM28" s="24">
        <v>0</v>
      </c>
      <c r="AN28" s="22">
        <v>0</v>
      </c>
      <c r="AO28" s="14">
        <v>0</v>
      </c>
      <c r="AP28" s="15"/>
      <c r="AQ28" s="15"/>
      <c r="AR28" s="24">
        <v>1631137.0070851357</v>
      </c>
      <c r="AS28" s="14">
        <v>0</v>
      </c>
      <c r="AT28" s="22">
        <v>0</v>
      </c>
      <c r="AU28" s="14">
        <v>0</v>
      </c>
      <c r="AV28" s="14">
        <v>1631137.0070851357</v>
      </c>
      <c r="AW28" s="14">
        <v>424415.27664445766</v>
      </c>
    </row>
    <row r="29" spans="1:49" ht="15.6" x14ac:dyDescent="0.3">
      <c r="B29" t="s">
        <v>108</v>
      </c>
      <c r="C29">
        <v>298</v>
      </c>
      <c r="D29" s="10">
        <v>16</v>
      </c>
      <c r="E29" s="10" t="s">
        <v>88</v>
      </c>
      <c r="F29" s="11">
        <v>1509061.8605500001</v>
      </c>
      <c r="G29" s="11">
        <v>1944123.01645</v>
      </c>
      <c r="H29" s="12">
        <v>0.14373310278001655</v>
      </c>
      <c r="I29" s="12">
        <v>0.11156811666162103</v>
      </c>
      <c r="J29" s="13" t="s">
        <v>62</v>
      </c>
      <c r="K29" s="11">
        <v>1509061.8605500001</v>
      </c>
      <c r="L29" s="11">
        <v>1918241.5023900005</v>
      </c>
      <c r="M29" s="12">
        <v>0.14211238043953006</v>
      </c>
      <c r="N29" s="12">
        <v>0.11179842213093001</v>
      </c>
      <c r="O29" s="11">
        <v>2810379.0961978193</v>
      </c>
      <c r="P29" s="11">
        <v>3765821.6212611701</v>
      </c>
      <c r="Q29" s="11">
        <v>4741280.5269388799</v>
      </c>
      <c r="R29" s="11">
        <v>2810379.0961978193</v>
      </c>
      <c r="S29" s="11">
        <v>3765821.6212611701</v>
      </c>
      <c r="T29" s="11">
        <v>4741280.5269388799</v>
      </c>
      <c r="U29" s="12">
        <v>0.20808688535178138</v>
      </c>
      <c r="V29" s="12">
        <v>0.27669676663803183</v>
      </c>
      <c r="W29" s="12">
        <v>0.34702739974265939</v>
      </c>
      <c r="X29" s="12">
        <v>0.20808688535178138</v>
      </c>
      <c r="Y29" s="12">
        <v>0.27669676663803183</v>
      </c>
      <c r="Z29" s="12">
        <v>0.34702739974265939</v>
      </c>
      <c r="AA29" s="11">
        <v>2400643.6277881102</v>
      </c>
      <c r="AB29" s="11">
        <v>3225863.9390659891</v>
      </c>
      <c r="AC29" s="11">
        <v>4137303.8649186073</v>
      </c>
      <c r="AD29" s="11">
        <v>2400643.6277881102</v>
      </c>
      <c r="AE29" s="11">
        <v>3225863.9390659891</v>
      </c>
      <c r="AF29" s="11">
        <v>4137303.8649186073</v>
      </c>
      <c r="AG29" s="12">
        <v>0.16880342928321257</v>
      </c>
      <c r="AH29" s="12">
        <v>0.22349622652353471</v>
      </c>
      <c r="AI29" s="12">
        <v>0.28290440240373743</v>
      </c>
      <c r="AJ29" s="12">
        <v>0.16880342928321257</v>
      </c>
      <c r="AK29" s="12">
        <v>0.22349622652353471</v>
      </c>
      <c r="AL29" s="20">
        <v>0.28290440240373743</v>
      </c>
      <c r="AM29" s="24">
        <v>0</v>
      </c>
      <c r="AN29" s="22">
        <v>0</v>
      </c>
      <c r="AO29" s="14">
        <v>0</v>
      </c>
      <c r="AP29" s="15"/>
      <c r="AQ29" s="15"/>
      <c r="AR29" s="24">
        <v>0</v>
      </c>
      <c r="AS29" s="14">
        <v>0</v>
      </c>
      <c r="AT29" s="22">
        <v>0</v>
      </c>
      <c r="AU29" s="14">
        <v>0</v>
      </c>
      <c r="AV29" s="14">
        <v>0</v>
      </c>
      <c r="AW29" s="14">
        <v>0</v>
      </c>
    </row>
    <row r="30" spans="1:49" ht="15.6" x14ac:dyDescent="0.3">
      <c r="B30" t="s">
        <v>105</v>
      </c>
      <c r="C30">
        <v>96</v>
      </c>
      <c r="D30" s="10">
        <v>22</v>
      </c>
      <c r="E30" s="10" t="s">
        <v>89</v>
      </c>
      <c r="F30" s="11">
        <v>356166.92160999996</v>
      </c>
      <c r="G30" s="11">
        <v>453940.27706999995</v>
      </c>
      <c r="H30" s="12">
        <v>0.13574101212216841</v>
      </c>
      <c r="I30" s="12">
        <v>0.10650400694962596</v>
      </c>
      <c r="J30" s="13" t="s">
        <v>62</v>
      </c>
      <c r="K30" s="11">
        <v>307711.52322999993</v>
      </c>
      <c r="L30" s="11">
        <v>349049.4145899929</v>
      </c>
      <c r="M30" s="12">
        <v>0.10330877228541731</v>
      </c>
      <c r="N30" s="12">
        <v>9.1073923502515877E-2</v>
      </c>
      <c r="O30" s="11">
        <v>1045701.135546446</v>
      </c>
      <c r="P30" s="11">
        <v>1672575.0685149943</v>
      </c>
      <c r="Q30" s="11">
        <v>2295044.5971406833</v>
      </c>
      <c r="R30" s="11">
        <v>1047452.319146446</v>
      </c>
      <c r="S30" s="11">
        <v>1674326.2521149945</v>
      </c>
      <c r="T30" s="11">
        <v>2296795.7807406834</v>
      </c>
      <c r="U30" s="12">
        <v>0.27937129995633908</v>
      </c>
      <c r="V30" s="12">
        <v>0.44213650668038718</v>
      </c>
      <c r="W30" s="12">
        <v>0.60721796624636337</v>
      </c>
      <c r="X30" s="12">
        <v>0.27890423293108974</v>
      </c>
      <c r="Y30" s="12">
        <v>0.44167407458360675</v>
      </c>
      <c r="Z30" s="12">
        <v>0.60675499511369568</v>
      </c>
      <c r="AA30" s="11">
        <v>733918.9848170093</v>
      </c>
      <c r="AB30" s="11">
        <v>1096815.2844200977</v>
      </c>
      <c r="AC30" s="11">
        <v>1656768.0500673102</v>
      </c>
      <c r="AD30" s="11">
        <v>735690.7705770093</v>
      </c>
      <c r="AE30" s="11">
        <v>1098587.0701800978</v>
      </c>
      <c r="AF30" s="11">
        <v>1658539.8358273103</v>
      </c>
      <c r="AG30" s="12">
        <v>0.20531782951763602</v>
      </c>
      <c r="AH30" s="12">
        <v>0.30893798027984393</v>
      </c>
      <c r="AI30" s="12">
        <v>0.44934234621740532</v>
      </c>
      <c r="AJ30" s="12">
        <v>0.2048233565390935</v>
      </c>
      <c r="AK30" s="12">
        <v>0.30843972945472425</v>
      </c>
      <c r="AL30" s="20">
        <v>0.44886232255249536</v>
      </c>
      <c r="AM30" s="24">
        <v>0</v>
      </c>
      <c r="AN30" s="22">
        <v>0</v>
      </c>
      <c r="AO30" s="14">
        <v>0</v>
      </c>
      <c r="AP30" s="15"/>
      <c r="AQ30" s="15"/>
      <c r="AR30" s="24">
        <v>0</v>
      </c>
      <c r="AS30" s="14">
        <v>0</v>
      </c>
      <c r="AT30" s="22">
        <v>0</v>
      </c>
      <c r="AU30" s="14">
        <v>0</v>
      </c>
      <c r="AV30" s="14">
        <v>0</v>
      </c>
      <c r="AW30" s="14">
        <v>0</v>
      </c>
    </row>
    <row r="31" spans="1:49" ht="15.6" x14ac:dyDescent="0.3">
      <c r="B31" t="s">
        <v>106</v>
      </c>
      <c r="C31">
        <v>320</v>
      </c>
      <c r="D31" s="10">
        <v>25</v>
      </c>
      <c r="E31" s="10" t="s">
        <v>90</v>
      </c>
      <c r="F31" s="11">
        <v>531063.62019000005</v>
      </c>
      <c r="G31" s="11">
        <v>560282.78461000009</v>
      </c>
      <c r="H31" s="12">
        <v>0.18968212335449378</v>
      </c>
      <c r="I31" s="12">
        <v>0.17979005937882195</v>
      </c>
      <c r="J31" s="13" t="s">
        <v>62</v>
      </c>
      <c r="K31" s="11">
        <v>-91677.017389999935</v>
      </c>
      <c r="L31" s="11">
        <v>-91677.017389999935</v>
      </c>
      <c r="M31" s="12">
        <v>-3.9638247741408179E-2</v>
      </c>
      <c r="N31" s="12">
        <v>-3.9638247741408179E-2</v>
      </c>
      <c r="O31" s="11">
        <v>-126639.13067799318</v>
      </c>
      <c r="P31" s="11">
        <v>-144042.28455497744</v>
      </c>
      <c r="Q31" s="11">
        <v>-111710.61644244241</v>
      </c>
      <c r="R31" s="11">
        <v>-126639.13067799318</v>
      </c>
      <c r="S31" s="11">
        <v>-144042.28455497744</v>
      </c>
      <c r="T31" s="11">
        <v>-111710.61644244241</v>
      </c>
      <c r="U31" s="12">
        <v>-5.8055140008984631E-2</v>
      </c>
      <c r="V31" s="12">
        <v>-6.6802083488783748E-2</v>
      </c>
      <c r="W31" s="12">
        <v>-5.1239104880189013E-2</v>
      </c>
      <c r="X31" s="12">
        <v>-5.8055140008984631E-2</v>
      </c>
      <c r="Y31" s="12">
        <v>-6.6802083488783748E-2</v>
      </c>
      <c r="Z31" s="12">
        <v>-5.1239104880189013E-2</v>
      </c>
      <c r="AA31" s="11">
        <v>-696461.10616923776</v>
      </c>
      <c r="AB31" s="11">
        <v>-854634.4712920452</v>
      </c>
      <c r="AC31" s="11">
        <v>-942580.58092899108</v>
      </c>
      <c r="AD31" s="11">
        <v>-696461.10616923776</v>
      </c>
      <c r="AE31" s="11">
        <v>-854634.4712920452</v>
      </c>
      <c r="AF31" s="11">
        <v>-942580.58092899108</v>
      </c>
      <c r="AG31" s="12">
        <v>-0.33524351442869849</v>
      </c>
      <c r="AH31" s="12">
        <v>-0.4118268801789558</v>
      </c>
      <c r="AI31" s="12">
        <v>-0.45788462961510012</v>
      </c>
      <c r="AJ31" s="12">
        <v>-0.33524351442869849</v>
      </c>
      <c r="AK31" s="12">
        <v>-0.4118268801789558</v>
      </c>
      <c r="AL31" s="20">
        <v>-0.45788462961510012</v>
      </c>
      <c r="AM31" s="24">
        <v>344775.07980910281</v>
      </c>
      <c r="AN31" s="22">
        <v>322961.25070949993</v>
      </c>
      <c r="AO31" s="14">
        <v>344775.07980910281</v>
      </c>
      <c r="AP31" s="15"/>
      <c r="AQ31" s="15"/>
      <c r="AR31" s="24">
        <v>1045508.3186127531</v>
      </c>
      <c r="AS31" s="14">
        <v>308456.68038981903</v>
      </c>
      <c r="AT31" s="22">
        <v>291575.69952793571</v>
      </c>
      <c r="AU31" s="14">
        <v>769172.84455279354</v>
      </c>
      <c r="AV31" s="14">
        <v>933752.52012812556</v>
      </c>
      <c r="AW31" s="14">
        <v>1045508.3186127531</v>
      </c>
    </row>
    <row r="32" spans="1:49" s="17" customFormat="1" ht="15.6" x14ac:dyDescent="0.3">
      <c r="A32" s="17" t="s">
        <v>65</v>
      </c>
      <c r="B32" s="17" t="s">
        <v>120</v>
      </c>
      <c r="C32" s="17">
        <v>3</v>
      </c>
      <c r="D32" s="18">
        <v>14</v>
      </c>
      <c r="E32" s="18" t="s">
        <v>91</v>
      </c>
      <c r="F32" s="11">
        <v>3139444.9796599969</v>
      </c>
      <c r="G32" s="11">
        <v>3945995.3518299973</v>
      </c>
      <c r="H32" s="12">
        <v>0.15745884363367901</v>
      </c>
      <c r="I32" s="12">
        <v>0.12527469803520414</v>
      </c>
      <c r="J32" s="13" t="s">
        <v>62</v>
      </c>
      <c r="K32" s="11">
        <v>2235861.9794000089</v>
      </c>
      <c r="L32" s="11">
        <v>2997270.3695300091</v>
      </c>
      <c r="M32" s="12">
        <v>0.12370974309916315</v>
      </c>
      <c r="N32" s="12">
        <v>9.2283270100899775E-2</v>
      </c>
      <c r="O32" s="11">
        <v>1565390.555460006</v>
      </c>
      <c r="P32" s="11">
        <v>1298099.9839208163</v>
      </c>
      <c r="Q32" s="11">
        <v>1314228.7419125005</v>
      </c>
      <c r="R32" s="11">
        <v>2326798.9455900062</v>
      </c>
      <c r="S32" s="11">
        <v>2059508.3740508165</v>
      </c>
      <c r="T32" s="11">
        <v>2075637.1320425007</v>
      </c>
      <c r="U32" s="12">
        <v>0.10250159686888341</v>
      </c>
      <c r="V32" s="12">
        <v>9.0824263417069687E-2</v>
      </c>
      <c r="W32" s="12">
        <v>9.0815130879865438E-2</v>
      </c>
      <c r="X32" s="12">
        <v>6.8959560069523945E-2</v>
      </c>
      <c r="Y32" s="12">
        <v>5.724617407086547E-2</v>
      </c>
      <c r="Z32" s="12">
        <v>5.7501310494199029E-2</v>
      </c>
      <c r="AA32" s="11">
        <v>483321.6017960161</v>
      </c>
      <c r="AB32" s="11">
        <v>-120536.10801551247</v>
      </c>
      <c r="AC32" s="11">
        <v>-135084.10459628876</v>
      </c>
      <c r="AD32" s="11">
        <v>965464.92559203214</v>
      </c>
      <c r="AE32" s="11">
        <v>-121714.38601551247</v>
      </c>
      <c r="AF32" s="11">
        <v>-136262.38259628875</v>
      </c>
      <c r="AG32" s="12">
        <v>4.6861831627847142E-2</v>
      </c>
      <c r="AH32" s="12">
        <v>-6.1234516682762748E-3</v>
      </c>
      <c r="AI32" s="12">
        <v>-6.9349111390482974E-3</v>
      </c>
      <c r="AJ32" s="12">
        <v>2.3459511500718171E-2</v>
      </c>
      <c r="AK32" s="12">
        <v>-6.0641724933078057E-3</v>
      </c>
      <c r="AL32" s="20">
        <v>-6.8749440881909468E-3</v>
      </c>
      <c r="AM32" s="24">
        <v>23618.115299005061</v>
      </c>
      <c r="AN32" s="22">
        <v>0</v>
      </c>
      <c r="AO32" s="14">
        <v>23618.115299005061</v>
      </c>
      <c r="AP32" s="13"/>
      <c r="AQ32" s="13"/>
      <c r="AR32" s="24">
        <v>945595.32375926094</v>
      </c>
      <c r="AS32" s="14">
        <v>430926.02315232018</v>
      </c>
      <c r="AT32" s="22">
        <v>571360.82597603567</v>
      </c>
      <c r="AU32" s="14">
        <v>237761.4464312543</v>
      </c>
      <c r="AV32" s="14">
        <v>878337.62556184991</v>
      </c>
      <c r="AW32" s="14">
        <v>945595.32375926094</v>
      </c>
    </row>
    <row r="33" spans="1:49" s="17" customFormat="1" ht="15.6" x14ac:dyDescent="0.3">
      <c r="A33" s="17" t="s">
        <v>65</v>
      </c>
      <c r="B33" s="17" t="s">
        <v>119</v>
      </c>
      <c r="C33" s="17">
        <v>42</v>
      </c>
      <c r="D33" s="18">
        <v>18</v>
      </c>
      <c r="E33" s="18" t="s">
        <v>92</v>
      </c>
      <c r="F33" s="11">
        <v>995146.29109999537</v>
      </c>
      <c r="G33" s="11">
        <v>1057315.9998499954</v>
      </c>
      <c r="H33" s="12">
        <v>8.2857515280137434E-2</v>
      </c>
      <c r="I33" s="12">
        <v>7.798553037359518E-2</v>
      </c>
      <c r="J33" s="13" t="s">
        <v>62</v>
      </c>
      <c r="K33" s="11">
        <v>-1447455.8466984034</v>
      </c>
      <c r="L33" s="11">
        <v>-1447455.8466984034</v>
      </c>
      <c r="M33" s="12">
        <v>-0.14893495479506472</v>
      </c>
      <c r="N33" s="12">
        <v>-0.14893495479506472</v>
      </c>
      <c r="O33" s="11">
        <v>-2533000.7856571823</v>
      </c>
      <c r="P33" s="11">
        <v>-3505885.6064705914</v>
      </c>
      <c r="Q33" s="11">
        <v>-4427396.1770215128</v>
      </c>
      <c r="R33" s="11">
        <v>-2533000.7856571823</v>
      </c>
      <c r="S33" s="11">
        <v>-3505885.6064705914</v>
      </c>
      <c r="T33" s="11">
        <v>-4427396.1770215128</v>
      </c>
      <c r="U33" s="12">
        <v>-0.32719902774690829</v>
      </c>
      <c r="V33" s="12">
        <v>-0.46501285003222415</v>
      </c>
      <c r="W33" s="12">
        <v>-0.59375390521673799</v>
      </c>
      <c r="X33" s="12">
        <v>-0.32719902774690829</v>
      </c>
      <c r="Y33" s="12">
        <v>-0.46501285003222415</v>
      </c>
      <c r="Z33" s="12">
        <v>-0.59375390521673799</v>
      </c>
      <c r="AA33" s="11">
        <v>-4243369.4790954143</v>
      </c>
      <c r="AB33" s="11">
        <v>-5880393.0390475262</v>
      </c>
      <c r="AC33" s="11">
        <v>-7332863.0321635399</v>
      </c>
      <c r="AD33" s="11">
        <v>-4243369.4790954143</v>
      </c>
      <c r="AE33" s="11">
        <v>-5880393.0390475262</v>
      </c>
      <c r="AF33" s="11">
        <v>-7332863.0321635399</v>
      </c>
      <c r="AG33" s="12">
        <v>-0.93435941150156232</v>
      </c>
      <c r="AH33" s="12">
        <v>-1.6319007613091798</v>
      </c>
      <c r="AI33" s="12">
        <v>-2.5517760978894271</v>
      </c>
      <c r="AJ33" s="12">
        <v>-0.93435941150156232</v>
      </c>
      <c r="AK33" s="12">
        <v>-1.6319007613091798</v>
      </c>
      <c r="AL33" s="20">
        <v>-2.5517760978894271</v>
      </c>
      <c r="AM33" s="24">
        <v>3282732.8865470262</v>
      </c>
      <c r="AN33" s="22">
        <v>2394912.2953346632</v>
      </c>
      <c r="AO33" s="14">
        <v>3282732.8865470262</v>
      </c>
      <c r="AP33" s="13"/>
      <c r="AQ33" s="13"/>
      <c r="AR33" s="24">
        <v>7451400.313050732</v>
      </c>
      <c r="AS33" s="14">
        <v>4080759.5642007012</v>
      </c>
      <c r="AT33" s="22">
        <v>5042567.1786689786</v>
      </c>
      <c r="AU33" s="14">
        <v>4402321.0880160797</v>
      </c>
      <c r="AV33" s="14">
        <v>6017772.7069348264</v>
      </c>
      <c r="AW33" s="14">
        <v>7451400.313050732</v>
      </c>
    </row>
    <row r="34" spans="1:49" ht="15.6" x14ac:dyDescent="0.3">
      <c r="A34" t="s">
        <v>65</v>
      </c>
      <c r="B34" t="s">
        <v>109</v>
      </c>
      <c r="C34">
        <v>115</v>
      </c>
      <c r="D34" s="10">
        <v>7</v>
      </c>
      <c r="E34" s="10" t="s">
        <v>93</v>
      </c>
      <c r="F34" s="11">
        <v>2798998.0466499995</v>
      </c>
      <c r="G34" s="11">
        <v>3519387.3167299991</v>
      </c>
      <c r="H34" s="12">
        <v>0.11764199874453042</v>
      </c>
      <c r="I34" s="12">
        <v>9.3561661464384951E-2</v>
      </c>
      <c r="J34" s="13" t="s">
        <v>62</v>
      </c>
      <c r="K34" s="11">
        <v>2256372.6259173946</v>
      </c>
      <c r="L34" s="11">
        <v>2976761.8959973948</v>
      </c>
      <c r="M34" s="12">
        <v>0.10145857447175355</v>
      </c>
      <c r="N34" s="12">
        <v>7.690516007023844E-2</v>
      </c>
      <c r="O34" s="11">
        <v>2189356.4250595504</v>
      </c>
      <c r="P34" s="11">
        <v>4108123.8323177341</v>
      </c>
      <c r="Q34" s="11">
        <v>6446972.3997719679</v>
      </c>
      <c r="R34" s="11">
        <v>2813285.6951395506</v>
      </c>
      <c r="S34" s="11">
        <v>4635593.1023977343</v>
      </c>
      <c r="T34" s="11">
        <v>6877981.6698519681</v>
      </c>
      <c r="U34" s="12">
        <v>0.10650992019503842</v>
      </c>
      <c r="V34" s="12">
        <v>0.17690934505969913</v>
      </c>
      <c r="W34" s="12">
        <v>0.26110188991317063</v>
      </c>
      <c r="X34" s="12">
        <v>8.2888196714063278E-2</v>
      </c>
      <c r="Y34" s="12">
        <v>0.15677939813646635</v>
      </c>
      <c r="Z34" s="12">
        <v>0.24473991915054627</v>
      </c>
      <c r="AA34" s="11">
        <v>-1300197.4202382723</v>
      </c>
      <c r="AB34" s="11">
        <v>-835345.96920797136</v>
      </c>
      <c r="AC34" s="11">
        <v>1091695.9464365933</v>
      </c>
      <c r="AD34" s="11">
        <v>-1306953.4202382723</v>
      </c>
      <c r="AE34" s="11">
        <v>-842101.96920797136</v>
      </c>
      <c r="AF34" s="11">
        <v>1522705.2165165932</v>
      </c>
      <c r="AG34" s="12">
        <v>-4.9153472905214483E-2</v>
      </c>
      <c r="AH34" s="12">
        <v>-3.264362383685035E-2</v>
      </c>
      <c r="AI34" s="12">
        <v>5.7930545326796312E-2</v>
      </c>
      <c r="AJ34" s="12">
        <v>-4.8899385148294207E-2</v>
      </c>
      <c r="AK34" s="12">
        <v>-3.2381731179302965E-2</v>
      </c>
      <c r="AL34" s="20">
        <v>4.1533016911048125E-2</v>
      </c>
      <c r="AM34" s="24">
        <v>0</v>
      </c>
      <c r="AN34" s="22">
        <v>0</v>
      </c>
      <c r="AO34" s="14">
        <v>0</v>
      </c>
      <c r="AP34" s="15"/>
      <c r="AQ34" s="15"/>
      <c r="AR34" s="24">
        <v>2230820.7720520725</v>
      </c>
      <c r="AS34" s="14">
        <v>0</v>
      </c>
      <c r="AT34" s="22">
        <v>0</v>
      </c>
      <c r="AU34" s="14">
        <v>2230820.7720520725</v>
      </c>
      <c r="AV34" s="14">
        <v>1818850.0598234083</v>
      </c>
      <c r="AW34" s="14">
        <v>0</v>
      </c>
    </row>
    <row r="35" spans="1:49" ht="15.6" x14ac:dyDescent="0.3">
      <c r="A35" t="s">
        <v>65</v>
      </c>
      <c r="B35" t="s">
        <v>104</v>
      </c>
      <c r="C35">
        <v>242</v>
      </c>
      <c r="D35" s="10">
        <v>24</v>
      </c>
      <c r="E35" s="10" t="s">
        <v>94</v>
      </c>
      <c r="F35" s="11">
        <v>413326.0580100012</v>
      </c>
      <c r="G35" s="11">
        <v>413326.0580100012</v>
      </c>
      <c r="H35" s="12">
        <v>0.14592146166291617</v>
      </c>
      <c r="I35" s="12">
        <v>0.14592146166291617</v>
      </c>
      <c r="J35" s="13" t="s">
        <v>62</v>
      </c>
      <c r="K35" s="11">
        <v>-247479.40723999869</v>
      </c>
      <c r="L35" s="11">
        <v>-247479.40723999869</v>
      </c>
      <c r="M35" s="12">
        <v>-0.11143879824257968</v>
      </c>
      <c r="N35" s="12">
        <v>-0.11143879824257968</v>
      </c>
      <c r="O35" s="11">
        <v>-229152.40381878801</v>
      </c>
      <c r="P35" s="11">
        <v>-188517.72753379983</v>
      </c>
      <c r="Q35" s="11">
        <v>-149082.43397992686</v>
      </c>
      <c r="R35" s="11">
        <v>-229152.40381878801</v>
      </c>
      <c r="S35" s="11">
        <v>-188517.72753379983</v>
      </c>
      <c r="T35" s="11">
        <v>-149082.43397992686</v>
      </c>
      <c r="U35" s="12">
        <v>-0.1058490153451573</v>
      </c>
      <c r="V35" s="12">
        <v>-8.8189406326412173E-2</v>
      </c>
      <c r="W35" s="12">
        <v>-7.0657206469458916E-2</v>
      </c>
      <c r="X35" s="12">
        <v>-0.1058490153451573</v>
      </c>
      <c r="Y35" s="12">
        <v>-8.8189406326412173E-2</v>
      </c>
      <c r="Z35" s="12">
        <v>-7.0657206469458916E-2</v>
      </c>
      <c r="AA35" s="11">
        <v>-630869.72864316311</v>
      </c>
      <c r="AB35" s="11">
        <v>-736158.18121817266</v>
      </c>
      <c r="AC35" s="11">
        <v>-761183.93227969867</v>
      </c>
      <c r="AD35" s="11">
        <v>-630869.72864316311</v>
      </c>
      <c r="AE35" s="11">
        <v>-736158.18121817266</v>
      </c>
      <c r="AF35" s="11">
        <v>-761183.93227969867</v>
      </c>
      <c r="AG35" s="12">
        <v>-0.31293407111960908</v>
      </c>
      <c r="AH35" s="12">
        <v>-0.38538385125349656</v>
      </c>
      <c r="AI35" s="12">
        <v>-0.41327237872763456</v>
      </c>
      <c r="AJ35" s="12">
        <v>-0.31293407111960908</v>
      </c>
      <c r="AK35" s="12">
        <v>-0.38538385125349656</v>
      </c>
      <c r="AL35" s="20">
        <v>-0.41327237872763456</v>
      </c>
      <c r="AM35" s="24">
        <v>469555.92918999871</v>
      </c>
      <c r="AN35" s="22">
        <v>469555.92918999871</v>
      </c>
      <c r="AO35" s="14">
        <v>445642.2814728762</v>
      </c>
      <c r="AP35" s="15"/>
      <c r="AQ35" s="15"/>
      <c r="AR35" s="24">
        <v>853276.21468957071</v>
      </c>
      <c r="AS35" s="14">
        <v>351513.23145236034</v>
      </c>
      <c r="AT35" s="22">
        <v>323152.44633825938</v>
      </c>
      <c r="AU35" s="14">
        <v>701429.12929746625</v>
      </c>
      <c r="AV35" s="14">
        <v>808984.35327404749</v>
      </c>
      <c r="AW35" s="14">
        <v>853276.21468957071</v>
      </c>
    </row>
    <row r="36" spans="1:49" ht="15.6" x14ac:dyDescent="0.3">
      <c r="B36" t="s">
        <v>118</v>
      </c>
      <c r="C36">
        <v>270</v>
      </c>
      <c r="D36" s="10">
        <v>19</v>
      </c>
      <c r="E36" s="10" t="s">
        <v>95</v>
      </c>
      <c r="F36" s="11">
        <v>802020.21583000012</v>
      </c>
      <c r="G36" s="11">
        <v>897673.78424000018</v>
      </c>
      <c r="H36" s="12">
        <v>0.12760193809487122</v>
      </c>
      <c r="I36" s="12">
        <v>0.11400503805268052</v>
      </c>
      <c r="J36" s="13" t="s">
        <v>62</v>
      </c>
      <c r="K36" s="11">
        <v>639956.80655530095</v>
      </c>
      <c r="L36" s="11">
        <v>735610.37496530102</v>
      </c>
      <c r="M36" s="12">
        <v>0.107303814495964</v>
      </c>
      <c r="N36" s="12">
        <v>9.3350785678190995E-2</v>
      </c>
      <c r="O36" s="11">
        <v>-271106.97378812591</v>
      </c>
      <c r="P36" s="11">
        <v>-646383.83187958086</v>
      </c>
      <c r="Q36" s="11">
        <v>-990763.74641793407</v>
      </c>
      <c r="R36" s="11">
        <v>-271436.97378812591</v>
      </c>
      <c r="S36" s="11">
        <v>-646713.83187958086</v>
      </c>
      <c r="T36" s="11">
        <v>-991093.74641793407</v>
      </c>
      <c r="U36" s="12">
        <v>-4.8163863742655223E-2</v>
      </c>
      <c r="V36" s="12">
        <v>-0.11464073762901358</v>
      </c>
      <c r="W36" s="12">
        <v>-0.17556222721440787</v>
      </c>
      <c r="X36" s="12">
        <v>-4.810530843674659E-2</v>
      </c>
      <c r="Y36" s="12">
        <v>-0.1145822396635261</v>
      </c>
      <c r="Z36" s="12">
        <v>-0.17550377105403941</v>
      </c>
      <c r="AA36" s="11">
        <v>-1225866.752568</v>
      </c>
      <c r="AB36" s="11">
        <v>-1978361.3329400513</v>
      </c>
      <c r="AC36" s="11">
        <v>-2620655.4860311835</v>
      </c>
      <c r="AD36" s="11">
        <v>-1226196.752568</v>
      </c>
      <c r="AE36" s="11">
        <v>-1978691.3329400513</v>
      </c>
      <c r="AF36" s="11">
        <v>-2620985.4860311835</v>
      </c>
      <c r="AG36" s="12">
        <v>-0.22269270411779837</v>
      </c>
      <c r="AH36" s="12">
        <v>-0.36079986274672399</v>
      </c>
      <c r="AI36" s="12">
        <v>-0.47946215571243211</v>
      </c>
      <c r="AJ36" s="12">
        <v>-0.22263277198031312</v>
      </c>
      <c r="AK36" s="12">
        <v>-0.36073968966529169</v>
      </c>
      <c r="AL36" s="20">
        <v>-0.47940178814754919</v>
      </c>
      <c r="AM36" s="24">
        <v>739023.17054157564</v>
      </c>
      <c r="AN36" s="22">
        <v>0</v>
      </c>
      <c r="AO36" s="14">
        <v>739023.17054157564</v>
      </c>
      <c r="AP36" s="15"/>
      <c r="AQ36" s="15"/>
      <c r="AR36" s="24">
        <v>2846149.0938387434</v>
      </c>
      <c r="AS36" s="14">
        <v>1076526.9965231589</v>
      </c>
      <c r="AT36" s="22">
        <v>1456497.3804508552</v>
      </c>
      <c r="AU36" s="14">
        <v>1418584.7246717385</v>
      </c>
      <c r="AV36" s="14">
        <v>2187445.6892755623</v>
      </c>
      <c r="AW36" s="14">
        <v>2846149.0938387434</v>
      </c>
    </row>
    <row r="37" spans="1:49" ht="15.6" x14ac:dyDescent="0.3">
      <c r="A37" t="s">
        <v>65</v>
      </c>
      <c r="B37" t="s">
        <v>112</v>
      </c>
      <c r="C37">
        <v>136</v>
      </c>
      <c r="D37" s="10">
        <v>20</v>
      </c>
      <c r="E37" s="10" t="s">
        <v>96</v>
      </c>
      <c r="F37" s="11">
        <v>510929.78735999996</v>
      </c>
      <c r="G37" s="11">
        <v>675432.92651999998</v>
      </c>
      <c r="H37" s="12">
        <v>8.7069858145276818E-2</v>
      </c>
      <c r="I37" s="12">
        <v>6.5863807287035434E-2</v>
      </c>
      <c r="J37" s="13" t="s">
        <v>62</v>
      </c>
      <c r="K37" s="11">
        <v>356486.30214661371</v>
      </c>
      <c r="L37" s="11">
        <v>520989.44130661373</v>
      </c>
      <c r="M37" s="12">
        <v>6.8552047503601665E-2</v>
      </c>
      <c r="N37" s="12">
        <v>4.6906643362769687E-2</v>
      </c>
      <c r="O37" s="11">
        <v>-264156.27788144327</v>
      </c>
      <c r="P37" s="11">
        <v>-606500.36678249016</v>
      </c>
      <c r="Q37" s="11">
        <v>-626145.47106189025</v>
      </c>
      <c r="R37" s="11">
        <v>-264186.27788144327</v>
      </c>
      <c r="S37" s="11">
        <v>-606530.36678249016</v>
      </c>
      <c r="T37" s="11">
        <v>-626175.47106189025</v>
      </c>
      <c r="U37" s="12">
        <v>-3.7093347171026352E-2</v>
      </c>
      <c r="V37" s="12">
        <v>-8.7479983705339867E-2</v>
      </c>
      <c r="W37" s="12">
        <v>-8.9113242618827915E-2</v>
      </c>
      <c r="X37" s="12">
        <v>-3.7089134990045361E-2</v>
      </c>
      <c r="Y37" s="12">
        <v>-8.7475656799953283E-2</v>
      </c>
      <c r="Z37" s="12">
        <v>-8.9108973212883233E-2</v>
      </c>
      <c r="AA37" s="11">
        <v>-1205752.2190204128</v>
      </c>
      <c r="AB37" s="11">
        <v>-2162606.9105318924</v>
      </c>
      <c r="AC37" s="11">
        <v>-2394607.1758232811</v>
      </c>
      <c r="AD37" s="11">
        <v>-1205782.2190204128</v>
      </c>
      <c r="AE37" s="11">
        <v>-2162636.9105318924</v>
      </c>
      <c r="AF37" s="11">
        <v>-2394637.1758232811</v>
      </c>
      <c r="AG37" s="12">
        <v>-0.16419425419437975</v>
      </c>
      <c r="AH37" s="12">
        <v>-0.30962893914090911</v>
      </c>
      <c r="AI37" s="12">
        <v>-0.33649721536027233</v>
      </c>
      <c r="AJ37" s="12">
        <v>-0.16419016902249037</v>
      </c>
      <c r="AK37" s="12">
        <v>-0.30962464398247125</v>
      </c>
      <c r="AL37" s="20">
        <v>-0.3364929997252013</v>
      </c>
      <c r="AM37" s="24">
        <v>839743.20221778785</v>
      </c>
      <c r="AN37" s="22">
        <v>239001.63157744764</v>
      </c>
      <c r="AO37" s="14">
        <v>839743.20221778785</v>
      </c>
      <c r="AP37" s="15"/>
      <c r="AQ37" s="15"/>
      <c r="AR37" s="24">
        <v>2688157.2528928709</v>
      </c>
      <c r="AS37" s="14">
        <v>1135169.1948762685</v>
      </c>
      <c r="AT37" s="22">
        <v>1205851.414246717</v>
      </c>
      <c r="AU37" s="14">
        <v>1462779.3474834682</v>
      </c>
      <c r="AV37" s="14">
        <v>2428895.1084076925</v>
      </c>
      <c r="AW37" s="14">
        <v>2688157.2528928709</v>
      </c>
    </row>
    <row r="38" spans="1:49" ht="15.6" x14ac:dyDescent="0.3">
      <c r="D38" s="10">
        <v>21</v>
      </c>
      <c r="E38" s="10" t="s">
        <v>97</v>
      </c>
      <c r="F38" s="11">
        <v>2724539.6090300027</v>
      </c>
      <c r="G38" s="11">
        <v>4269076.2184700025</v>
      </c>
      <c r="H38" s="12">
        <v>0.10545466595680952</v>
      </c>
      <c r="I38" s="12">
        <v>6.7301542453914426E-2</v>
      </c>
      <c r="J38" s="13" t="s">
        <v>62</v>
      </c>
      <c r="K38" s="11">
        <v>2438985.8346337229</v>
      </c>
      <c r="L38" s="11">
        <v>3935026.7219637227</v>
      </c>
      <c r="M38" s="12">
        <v>9.7467536024517118E-2</v>
      </c>
      <c r="N38" s="12">
        <v>6.0411772650381737E-2</v>
      </c>
      <c r="O38" s="11">
        <v>2448254.192251455</v>
      </c>
      <c r="P38" s="11">
        <v>3393488.6844456149</v>
      </c>
      <c r="Q38" s="11">
        <v>4917649.0245738206</v>
      </c>
      <c r="R38" s="11">
        <v>3969265.9185494264</v>
      </c>
      <c r="S38" s="11">
        <v>4944465.4175051525</v>
      </c>
      <c r="T38" s="11">
        <v>6188952.3611920765</v>
      </c>
      <c r="U38" s="12">
        <v>0.1061241375672754</v>
      </c>
      <c r="V38" s="12">
        <v>0.1325768440219981</v>
      </c>
      <c r="W38" s="12">
        <v>0.16483432173721307</v>
      </c>
      <c r="X38" s="12">
        <v>6.5457661449173782E-2</v>
      </c>
      <c r="Y38" s="12">
        <v>9.0990224831053332E-2</v>
      </c>
      <c r="Z38" s="12">
        <v>0.1309748878647308</v>
      </c>
      <c r="AA38" s="11">
        <v>-880849.96578988992</v>
      </c>
      <c r="AB38" s="11">
        <v>-1191882.1626180289</v>
      </c>
      <c r="AC38" s="11">
        <v>-103420.93963945471</v>
      </c>
      <c r="AD38" s="11">
        <v>-881179.96578988992</v>
      </c>
      <c r="AE38" s="11">
        <v>-1192212.1626180289</v>
      </c>
      <c r="AF38" s="11">
        <v>-103750.93963945471</v>
      </c>
      <c r="AG38" s="12">
        <v>-2.2442540840443278E-2</v>
      </c>
      <c r="AH38" s="12">
        <v>-3.0189196521710253E-2</v>
      </c>
      <c r="AI38" s="12">
        <v>-2.5698038137890317E-3</v>
      </c>
      <c r="AJ38" s="12">
        <v>-2.2434136157217521E-2</v>
      </c>
      <c r="AK38" s="12">
        <v>-3.0180840261671529E-2</v>
      </c>
      <c r="AL38" s="20">
        <v>-2.5616300539995072E-3</v>
      </c>
      <c r="AM38" s="24">
        <v>387102.54076311784</v>
      </c>
      <c r="AN38" s="22">
        <v>387102.54076311784</v>
      </c>
      <c r="AO38" s="14">
        <v>169893.01410226431</v>
      </c>
      <c r="AP38" s="15"/>
      <c r="AQ38" s="15"/>
      <c r="AR38" s="24">
        <v>2697489.9275390073</v>
      </c>
      <c r="AS38" s="14">
        <v>0</v>
      </c>
      <c r="AT38" s="22">
        <v>0</v>
      </c>
      <c r="AU38" s="14">
        <v>2255083.7934974744</v>
      </c>
      <c r="AV38" s="14">
        <v>2697489.9275390073</v>
      </c>
      <c r="AW38" s="14">
        <v>1768811.2068510556</v>
      </c>
    </row>
    <row r="39" spans="1:49" ht="15.6" x14ac:dyDescent="0.3">
      <c r="D39" s="18">
        <v>6</v>
      </c>
      <c r="E39" s="18" t="s">
        <v>34</v>
      </c>
      <c r="F39" s="11">
        <v>5142662.2361600008</v>
      </c>
      <c r="G39" s="11">
        <v>5309686.8676500004</v>
      </c>
      <c r="H39" s="12">
        <v>0.13977597466297564</v>
      </c>
      <c r="I39" s="12">
        <v>0.13537909943451765</v>
      </c>
      <c r="J39" s="13" t="s">
        <v>62</v>
      </c>
      <c r="K39" s="11">
        <v>5067841.4357900005</v>
      </c>
      <c r="L39" s="11">
        <v>5228931.4216200002</v>
      </c>
      <c r="M39" s="12">
        <v>0.13823891836284341</v>
      </c>
      <c r="N39" s="12">
        <v>0.13398013131733924</v>
      </c>
      <c r="O39" s="11">
        <v>5620300.1367360428</v>
      </c>
      <c r="P39" s="11">
        <v>7020808.8836110607</v>
      </c>
      <c r="Q39" s="11">
        <v>8526071.2226377092</v>
      </c>
      <c r="R39" s="11">
        <v>5766804.0844260426</v>
      </c>
      <c r="S39" s="11">
        <v>7167312.8313010605</v>
      </c>
      <c r="T39" s="11">
        <v>8672575.17032771</v>
      </c>
      <c r="U39" s="12">
        <v>0.15518012805097578</v>
      </c>
      <c r="V39" s="12">
        <v>0.19193651808508672</v>
      </c>
      <c r="W39" s="12">
        <v>0.23173220719584911</v>
      </c>
      <c r="X39" s="12">
        <v>0.15123782291459964</v>
      </c>
      <c r="Y39" s="12">
        <v>0.18801322657162925</v>
      </c>
      <c r="Z39" s="12">
        <v>0.22781760484368221</v>
      </c>
      <c r="AA39" s="11">
        <v>3045528.7508683149</v>
      </c>
      <c r="AB39" s="11">
        <v>3134496.9369950164</v>
      </c>
      <c r="AC39" s="11">
        <v>4105421.4988369532</v>
      </c>
      <c r="AD39" s="11">
        <v>3198212.851728315</v>
      </c>
      <c r="AE39" s="11">
        <v>3287181.0378550165</v>
      </c>
      <c r="AF39" s="11">
        <v>4258105.5996969528</v>
      </c>
      <c r="AG39" s="12">
        <v>8.1685873356017596E-2</v>
      </c>
      <c r="AH39" s="12">
        <v>8.2841048780952206E-2</v>
      </c>
      <c r="AI39" s="12">
        <v>0.10587472280669091</v>
      </c>
      <c r="AJ39" s="12">
        <v>7.778615351104623E-2</v>
      </c>
      <c r="AK39" s="12">
        <v>7.8993219622241609E-2</v>
      </c>
      <c r="AL39" s="20">
        <v>0.10207834282572197</v>
      </c>
      <c r="AM39" s="24">
        <v>0</v>
      </c>
      <c r="AN39" s="22">
        <v>0</v>
      </c>
      <c r="AO39" s="14">
        <v>0</v>
      </c>
      <c r="AP39" s="15"/>
      <c r="AQ39" s="15"/>
      <c r="AR39" s="24">
        <v>0</v>
      </c>
      <c r="AS39" s="14">
        <v>0</v>
      </c>
      <c r="AT39" s="22">
        <v>0</v>
      </c>
      <c r="AU39" s="14">
        <v>0</v>
      </c>
      <c r="AV39" s="14">
        <v>0</v>
      </c>
      <c r="AW39" s="14">
        <v>0</v>
      </c>
    </row>
    <row r="40" spans="1:49" ht="15.6" x14ac:dyDescent="0.3">
      <c r="D40" s="18">
        <v>3</v>
      </c>
      <c r="E40" s="18" t="s">
        <v>35</v>
      </c>
      <c r="F40" s="11">
        <v>6223292.6322399974</v>
      </c>
      <c r="G40" s="11">
        <v>10359600.648959996</v>
      </c>
      <c r="H40" s="12">
        <v>0.13913984035344065</v>
      </c>
      <c r="I40" s="12">
        <v>8.3585069797989311E-2</v>
      </c>
      <c r="J40" s="13" t="s">
        <v>62</v>
      </c>
      <c r="K40" s="11">
        <v>5590078.4820700027</v>
      </c>
      <c r="L40" s="11">
        <v>9434255.5496300012</v>
      </c>
      <c r="M40" s="12">
        <v>0.12688667575368281</v>
      </c>
      <c r="N40" s="12">
        <v>7.5184149089524505E-2</v>
      </c>
      <c r="O40" s="11">
        <v>7118687.1363417767</v>
      </c>
      <c r="P40" s="11">
        <v>9327830.4325437024</v>
      </c>
      <c r="Q40" s="11">
        <v>11673091.923314352</v>
      </c>
      <c r="R40" s="11">
        <v>11088466.325551704</v>
      </c>
      <c r="S40" s="11">
        <v>12643373.640792776</v>
      </c>
      <c r="T40" s="11">
        <v>14281960.388769832</v>
      </c>
      <c r="U40" s="12">
        <v>0.15020152995213415</v>
      </c>
      <c r="V40" s="12">
        <v>0.1706702498892089</v>
      </c>
      <c r="W40" s="12">
        <v>0.19167315809157159</v>
      </c>
      <c r="X40" s="12">
        <v>9.6427915974747022E-2</v>
      </c>
      <c r="Y40" s="12">
        <v>0.12591442727833355</v>
      </c>
      <c r="Z40" s="12">
        <v>0.1566604536583229</v>
      </c>
      <c r="AA40" s="11">
        <v>-5557314.5507652387</v>
      </c>
      <c r="AB40" s="11">
        <v>-8129551.7438630313</v>
      </c>
      <c r="AC40" s="11">
        <v>-7567182.6692404952</v>
      </c>
      <c r="AD40" s="11">
        <v>-5562891.3507652385</v>
      </c>
      <c r="AE40" s="11">
        <v>-8135128.5438630311</v>
      </c>
      <c r="AF40" s="11">
        <v>-7572759.469240495</v>
      </c>
      <c r="AG40" s="12">
        <v>-7.4736530469761114E-2</v>
      </c>
      <c r="AH40" s="12">
        <v>-0.10908916209025589</v>
      </c>
      <c r="AI40" s="12">
        <v>-0.10107501471775558</v>
      </c>
      <c r="AJ40" s="12">
        <v>-7.4661607078876202E-2</v>
      </c>
      <c r="AK40" s="12">
        <v>-0.10901437919827518</v>
      </c>
      <c r="AL40" s="20">
        <v>-0.10100058014151327</v>
      </c>
      <c r="AM40" s="24">
        <v>0</v>
      </c>
      <c r="AN40" s="22">
        <v>0</v>
      </c>
      <c r="AO40" s="14">
        <v>0</v>
      </c>
      <c r="AP40" s="15"/>
      <c r="AQ40" s="15"/>
      <c r="AR40" s="24">
        <v>10972655.218048407</v>
      </c>
      <c r="AS40" s="14">
        <v>0</v>
      </c>
      <c r="AT40" s="22">
        <v>0</v>
      </c>
      <c r="AU40" s="14">
        <v>8162482.2786886105</v>
      </c>
      <c r="AV40" s="14">
        <v>10972655.218048407</v>
      </c>
      <c r="AW40" s="14">
        <v>10657722.195536464</v>
      </c>
    </row>
    <row r="41" spans="1:49" ht="15.6" x14ac:dyDescent="0.3">
      <c r="D41" s="18">
        <v>1</v>
      </c>
      <c r="E41" s="18" t="s">
        <v>36</v>
      </c>
      <c r="F41" s="11">
        <v>17888588.131799996</v>
      </c>
      <c r="G41" s="11">
        <v>17569378.600799996</v>
      </c>
      <c r="H41" s="12">
        <v>0.17326515292898392</v>
      </c>
      <c r="I41" s="12">
        <v>0.17641312358075106</v>
      </c>
      <c r="J41" s="13" t="s">
        <v>62</v>
      </c>
      <c r="K41" s="11">
        <v>19399524.857390016</v>
      </c>
      <c r="L41" s="11">
        <v>19365988.328300018</v>
      </c>
      <c r="M41" s="12">
        <v>0.17973099662235195</v>
      </c>
      <c r="N41" s="12">
        <v>0.18004224093864599</v>
      </c>
      <c r="O41" s="11">
        <v>17800384.477594197</v>
      </c>
      <c r="P41" s="11">
        <v>27420255.38624388</v>
      </c>
      <c r="Q41" s="11">
        <v>38298374.797554344</v>
      </c>
      <c r="R41" s="11">
        <v>26759596.891964197</v>
      </c>
      <c r="S41" s="11">
        <v>36379467.80061388</v>
      </c>
      <c r="T41" s="11">
        <v>47257587.211924344</v>
      </c>
      <c r="U41" s="12">
        <v>0.32237362408246434</v>
      </c>
      <c r="V41" s="12">
        <v>0.43931181587911616</v>
      </c>
      <c r="W41" s="12">
        <v>0.56892173918878797</v>
      </c>
      <c r="X41" s="12">
        <v>0.21444173756692486</v>
      </c>
      <c r="Y41" s="12">
        <v>0.331122001333858</v>
      </c>
      <c r="Z41" s="12">
        <v>0.4610641228934933</v>
      </c>
      <c r="AA41" s="11">
        <v>4847670.6707009971</v>
      </c>
      <c r="AB41" s="11">
        <v>4444616.7852807045</v>
      </c>
      <c r="AC41" s="11">
        <v>9610923.2699614167</v>
      </c>
      <c r="AD41" s="11">
        <v>9262568.3394919951</v>
      </c>
      <c r="AE41" s="11">
        <v>8456460.5686514098</v>
      </c>
      <c r="AF41" s="11">
        <v>18570135.684331417</v>
      </c>
      <c r="AG41" s="12">
        <v>0.12798745332482817</v>
      </c>
      <c r="AH41" s="12">
        <v>0.12119584907155559</v>
      </c>
      <c r="AI41" s="12">
        <v>0.26606428484462596</v>
      </c>
      <c r="AJ41" s="12">
        <v>6.6983691883293603E-2</v>
      </c>
      <c r="AK41" s="12">
        <v>6.3699121011296447E-2</v>
      </c>
      <c r="AL41" s="20">
        <v>0.13770084774751729</v>
      </c>
      <c r="AM41" s="24">
        <v>0</v>
      </c>
      <c r="AN41" s="22">
        <v>0</v>
      </c>
      <c r="AO41" s="14">
        <v>0</v>
      </c>
      <c r="AP41" s="15"/>
      <c r="AQ41" s="15"/>
      <c r="AR41" s="24">
        <v>0</v>
      </c>
      <c r="AS41" s="14">
        <v>0</v>
      </c>
      <c r="AT41" s="22">
        <v>0</v>
      </c>
      <c r="AU41" s="14">
        <v>0</v>
      </c>
      <c r="AV41" s="14">
        <v>0</v>
      </c>
      <c r="AW41" s="14">
        <v>0</v>
      </c>
    </row>
    <row r="42" spans="1:49" ht="15.6" x14ac:dyDescent="0.3">
      <c r="D42" s="18">
        <v>2</v>
      </c>
      <c r="E42" s="18" t="s">
        <v>37</v>
      </c>
      <c r="F42" s="11">
        <v>10344342.775749996</v>
      </c>
      <c r="G42" s="11">
        <v>14055174.335239995</v>
      </c>
      <c r="H42" s="12">
        <v>0.18769826666154021</v>
      </c>
      <c r="I42" s="12">
        <v>0.13814237820536762</v>
      </c>
      <c r="J42" s="13" t="s">
        <v>62</v>
      </c>
      <c r="K42" s="11">
        <v>9122294.4693709984</v>
      </c>
      <c r="L42" s="11">
        <v>12833118.598410998</v>
      </c>
      <c r="M42" s="12">
        <v>0.17325823252434586</v>
      </c>
      <c r="N42" s="12">
        <v>0.12315888801382499</v>
      </c>
      <c r="O42" s="11">
        <v>12640492.698160432</v>
      </c>
      <c r="P42" s="11">
        <v>14411390.390893519</v>
      </c>
      <c r="Q42" s="11">
        <v>18191545.782332815</v>
      </c>
      <c r="R42" s="11">
        <v>16401258.505136374</v>
      </c>
      <c r="S42" s="11">
        <v>18232086.211392593</v>
      </c>
      <c r="T42" s="11">
        <v>21452894.809949327</v>
      </c>
      <c r="U42" s="12">
        <v>0.21949229764258121</v>
      </c>
      <c r="V42" s="12">
        <v>0.24782123225936159</v>
      </c>
      <c r="W42" s="12">
        <v>0.28636583623926543</v>
      </c>
      <c r="X42" s="12">
        <v>0.16916328614567097</v>
      </c>
      <c r="Y42" s="12">
        <v>0.19588808893467613</v>
      </c>
      <c r="Z42" s="12">
        <v>0.24283143447972388</v>
      </c>
      <c r="AA42" s="11">
        <v>1064377.3713108301</v>
      </c>
      <c r="AB42" s="11">
        <v>-3807355.1650880016</v>
      </c>
      <c r="AC42" s="11">
        <v>-3662544.4256389728</v>
      </c>
      <c r="AD42" s="11">
        <v>2071534.7426216602</v>
      </c>
      <c r="AE42" s="11">
        <v>-3864575.1650880016</v>
      </c>
      <c r="AF42" s="11">
        <v>-3719764.4256389728</v>
      </c>
      <c r="AG42" s="12">
        <v>3.0807080749983427E-2</v>
      </c>
      <c r="AH42" s="12">
        <v>-6.1358650182045643E-2</v>
      </c>
      <c r="AI42" s="12">
        <v>-6.0538864439248712E-2</v>
      </c>
      <c r="AJ42" s="12">
        <v>1.582901746795206E-2</v>
      </c>
      <c r="AK42" s="12">
        <v>-6.0450156540846997E-2</v>
      </c>
      <c r="AL42" s="20">
        <v>-5.9607613578485194E-2</v>
      </c>
      <c r="AM42" s="24">
        <v>0</v>
      </c>
      <c r="AN42" s="22">
        <v>0</v>
      </c>
      <c r="AO42" s="14">
        <v>0</v>
      </c>
      <c r="AP42" s="15"/>
      <c r="AQ42" s="15"/>
      <c r="AR42" s="24">
        <v>6208596.5178857669</v>
      </c>
      <c r="AS42" s="14">
        <v>0</v>
      </c>
      <c r="AT42" s="22">
        <v>0</v>
      </c>
      <c r="AU42" s="14">
        <v>1289098.330595691</v>
      </c>
      <c r="AV42" s="14">
        <v>6208596.5178857669</v>
      </c>
      <c r="AW42" s="14">
        <v>6197119.2641146155</v>
      </c>
    </row>
    <row r="43" spans="1:49" ht="15.6" x14ac:dyDescent="0.3">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row>
    <row r="44" spans="1:49" ht="18" x14ac:dyDescent="0.3">
      <c r="D44" t="s">
        <v>99</v>
      </c>
      <c r="F44" s="4" t="s">
        <v>63</v>
      </c>
    </row>
    <row r="46" spans="1:49" x14ac:dyDescent="0.3">
      <c r="J46" s="28">
        <v>0</v>
      </c>
    </row>
  </sheetData>
  <mergeCells count="46">
    <mergeCell ref="O12:Z13"/>
    <mergeCell ref="K14:K15"/>
    <mergeCell ref="L14:L15"/>
    <mergeCell ref="M14:M15"/>
    <mergeCell ref="N14:N15"/>
    <mergeCell ref="O14:Q15"/>
    <mergeCell ref="R14:T15"/>
    <mergeCell ref="U14:W15"/>
    <mergeCell ref="X14:Z15"/>
    <mergeCell ref="D1:D3"/>
    <mergeCell ref="D12:D17"/>
    <mergeCell ref="E12:E17"/>
    <mergeCell ref="F12:I13"/>
    <mergeCell ref="J12:N13"/>
    <mergeCell ref="F16:I17"/>
    <mergeCell ref="J16:N17"/>
    <mergeCell ref="AT12:AT17"/>
    <mergeCell ref="AU12:AU17"/>
    <mergeCell ref="AV12:AV17"/>
    <mergeCell ref="AW12:AW17"/>
    <mergeCell ref="F14:F15"/>
    <mergeCell ref="G14:G15"/>
    <mergeCell ref="H14:H15"/>
    <mergeCell ref="I14:I15"/>
    <mergeCell ref="J14:J15"/>
    <mergeCell ref="AA12:AL13"/>
    <mergeCell ref="AM12:AM17"/>
    <mergeCell ref="AN12:AN17"/>
    <mergeCell ref="AO12:AO17"/>
    <mergeCell ref="AP12:AQ13"/>
    <mergeCell ref="AR12:AR17"/>
    <mergeCell ref="AG14:AI15"/>
    <mergeCell ref="AD17:AF17"/>
    <mergeCell ref="AG17:AI17"/>
    <mergeCell ref="AJ17:AL17"/>
    <mergeCell ref="AD14:AF15"/>
    <mergeCell ref="AS12:AS17"/>
    <mergeCell ref="AJ14:AL15"/>
    <mergeCell ref="AP14:AP17"/>
    <mergeCell ref="AQ14:AQ17"/>
    <mergeCell ref="O17:Q17"/>
    <mergeCell ref="R17:T17"/>
    <mergeCell ref="U17:W17"/>
    <mergeCell ref="X17:Z17"/>
    <mergeCell ref="AA14:AC15"/>
    <mergeCell ref="AA17:AC17"/>
  </mergeCells>
  <pageMargins left="0.17" right="0.19" top="0.74803149606299213" bottom="0.74803149606299213" header="0.31496062992125984" footer="0.31496062992125984"/>
  <pageSetup paperSize="9" scale="91" orientation="landscape" horizontalDpi="4294967293" verticalDpi="0" r:id="rId1"/>
  <colBreaks count="1" manualBreakCount="1">
    <brk id="26" min="11" max="43"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5"/>
  <sheetViews>
    <sheetView workbookViewId="0">
      <selection activeCell="E1" sqref="E1:E25"/>
    </sheetView>
  </sheetViews>
  <sheetFormatPr defaultRowHeight="14.4" x14ac:dyDescent="0.3"/>
  <cols>
    <col min="2" max="2" width="6.109375" bestFit="1" customWidth="1"/>
    <col min="3" max="3" width="18.44140625" style="1" bestFit="1" customWidth="1"/>
    <col min="4" max="4" width="19.109375" style="1" customWidth="1"/>
    <col min="5" max="5" width="15.88671875" bestFit="1" customWidth="1"/>
    <col min="6" max="6" width="26" bestFit="1" customWidth="1"/>
  </cols>
  <sheetData>
    <row r="1" spans="2:6" x14ac:dyDescent="0.3">
      <c r="B1" t="s">
        <v>0</v>
      </c>
      <c r="C1" s="1" t="s">
        <v>1</v>
      </c>
      <c r="D1" s="1" t="s">
        <v>2</v>
      </c>
      <c r="E1" t="s">
        <v>3</v>
      </c>
      <c r="F1" t="s">
        <v>4</v>
      </c>
    </row>
    <row r="2" spans="2:6" x14ac:dyDescent="0.3">
      <c r="B2">
        <v>1</v>
      </c>
      <c r="C2" s="1">
        <v>43318</v>
      </c>
      <c r="D2" s="1">
        <v>43321</v>
      </c>
      <c r="E2" t="s">
        <v>5</v>
      </c>
      <c r="F2" t="s">
        <v>6</v>
      </c>
    </row>
    <row r="3" spans="2:6" x14ac:dyDescent="0.3">
      <c r="B3">
        <v>1</v>
      </c>
      <c r="C3" s="1">
        <v>43318</v>
      </c>
      <c r="D3" s="1">
        <v>43321</v>
      </c>
      <c r="E3" t="s">
        <v>7</v>
      </c>
      <c r="F3" t="s">
        <v>8</v>
      </c>
    </row>
    <row r="4" spans="2:6" x14ac:dyDescent="0.3">
      <c r="B4">
        <v>1</v>
      </c>
      <c r="C4" s="1">
        <v>43318</v>
      </c>
      <c r="D4" s="1">
        <v>43321</v>
      </c>
      <c r="E4" t="s">
        <v>9</v>
      </c>
      <c r="F4" t="s">
        <v>10</v>
      </c>
    </row>
    <row r="5" spans="2:6" x14ac:dyDescent="0.3">
      <c r="B5">
        <v>1</v>
      </c>
      <c r="C5" s="1">
        <v>43318</v>
      </c>
      <c r="D5" s="1">
        <v>43321</v>
      </c>
      <c r="E5" t="s">
        <v>11</v>
      </c>
      <c r="F5" t="s">
        <v>12</v>
      </c>
    </row>
    <row r="6" spans="2:6" x14ac:dyDescent="0.3">
      <c r="B6">
        <v>1</v>
      </c>
      <c r="C6" s="1">
        <v>43318</v>
      </c>
      <c r="D6" s="1">
        <v>43321</v>
      </c>
      <c r="E6" t="s">
        <v>13</v>
      </c>
      <c r="F6" t="s">
        <v>14</v>
      </c>
    </row>
    <row r="7" spans="2:6" x14ac:dyDescent="0.3">
      <c r="B7">
        <v>2</v>
      </c>
      <c r="C7" s="1">
        <v>43322</v>
      </c>
      <c r="D7" s="1">
        <v>43326</v>
      </c>
      <c r="E7" t="s">
        <v>15</v>
      </c>
      <c r="F7" t="s">
        <v>16</v>
      </c>
    </row>
    <row r="8" spans="2:6" x14ac:dyDescent="0.3">
      <c r="B8">
        <v>2</v>
      </c>
      <c r="C8" s="1">
        <v>43322</v>
      </c>
      <c r="D8" s="1">
        <v>43326</v>
      </c>
      <c r="E8" t="s">
        <v>17</v>
      </c>
      <c r="F8" t="s">
        <v>12</v>
      </c>
    </row>
    <row r="9" spans="2:6" x14ac:dyDescent="0.3">
      <c r="B9">
        <v>2</v>
      </c>
      <c r="C9" s="1">
        <v>43322</v>
      </c>
      <c r="D9" s="1">
        <v>43326</v>
      </c>
      <c r="E9" t="s">
        <v>18</v>
      </c>
      <c r="F9" t="s">
        <v>19</v>
      </c>
    </row>
    <row r="10" spans="2:6" x14ac:dyDescent="0.3">
      <c r="B10">
        <v>2</v>
      </c>
      <c r="C10" s="1">
        <v>43322</v>
      </c>
      <c r="D10" s="1">
        <v>43326</v>
      </c>
      <c r="E10" t="s">
        <v>20</v>
      </c>
      <c r="F10" t="s">
        <v>8</v>
      </c>
    </row>
    <row r="11" spans="2:6" x14ac:dyDescent="0.3">
      <c r="B11">
        <v>2</v>
      </c>
      <c r="C11" s="1">
        <v>43322</v>
      </c>
      <c r="D11" s="1">
        <v>43326</v>
      </c>
      <c r="E11" t="s">
        <v>21</v>
      </c>
      <c r="F11" t="s">
        <v>22</v>
      </c>
    </row>
    <row r="12" spans="2:6" x14ac:dyDescent="0.3">
      <c r="B12">
        <v>2</v>
      </c>
      <c r="C12" s="1">
        <v>43322</v>
      </c>
      <c r="D12" s="1">
        <v>43326</v>
      </c>
      <c r="E12" t="s">
        <v>23</v>
      </c>
      <c r="F12" t="s">
        <v>6</v>
      </c>
    </row>
    <row r="13" spans="2:6" x14ac:dyDescent="0.3">
      <c r="B13">
        <v>3</v>
      </c>
      <c r="C13" s="1">
        <v>43325</v>
      </c>
      <c r="D13" s="1">
        <v>43326</v>
      </c>
      <c r="E13" t="s">
        <v>24</v>
      </c>
      <c r="F13" t="s">
        <v>22</v>
      </c>
    </row>
    <row r="14" spans="2:6" x14ac:dyDescent="0.3">
      <c r="B14">
        <v>3</v>
      </c>
      <c r="C14" s="1">
        <v>43325</v>
      </c>
      <c r="D14" s="1">
        <v>43326</v>
      </c>
      <c r="E14" t="s">
        <v>25</v>
      </c>
      <c r="F14" t="s">
        <v>26</v>
      </c>
    </row>
    <row r="15" spans="2:6" x14ac:dyDescent="0.3">
      <c r="B15">
        <v>3</v>
      </c>
      <c r="C15" s="1">
        <v>43325</v>
      </c>
      <c r="D15" s="1">
        <v>43328</v>
      </c>
      <c r="E15" t="s">
        <v>27</v>
      </c>
      <c r="F15" t="s">
        <v>14</v>
      </c>
    </row>
    <row r="16" spans="2:6" x14ac:dyDescent="0.3">
      <c r="B16">
        <v>4</v>
      </c>
      <c r="C16" s="1">
        <v>43327</v>
      </c>
      <c r="D16" s="1">
        <v>43328</v>
      </c>
      <c r="E16" t="s">
        <v>28</v>
      </c>
      <c r="F16" t="s">
        <v>6</v>
      </c>
    </row>
    <row r="17" spans="2:6" x14ac:dyDescent="0.3">
      <c r="B17">
        <v>4</v>
      </c>
      <c r="C17" s="1">
        <v>43327</v>
      </c>
      <c r="D17" s="1">
        <v>43328</v>
      </c>
      <c r="E17" t="s">
        <v>29</v>
      </c>
      <c r="F17" t="s">
        <v>12</v>
      </c>
    </row>
    <row r="18" spans="2:6" x14ac:dyDescent="0.3">
      <c r="B18">
        <v>4</v>
      </c>
      <c r="C18" s="1">
        <v>43327</v>
      </c>
      <c r="D18" s="1">
        <v>43328</v>
      </c>
      <c r="E18" t="s">
        <v>30</v>
      </c>
      <c r="F18" t="s">
        <v>26</v>
      </c>
    </row>
    <row r="19" spans="2:6" x14ac:dyDescent="0.3">
      <c r="B19">
        <v>5</v>
      </c>
      <c r="C19" s="1">
        <v>43328</v>
      </c>
      <c r="D19" s="1">
        <v>43328</v>
      </c>
      <c r="E19" t="s">
        <v>31</v>
      </c>
      <c r="F19" t="s">
        <v>26</v>
      </c>
    </row>
    <row r="20" spans="2:6" x14ac:dyDescent="0.3">
      <c r="B20">
        <v>5</v>
      </c>
      <c r="C20" s="1">
        <v>43328</v>
      </c>
      <c r="D20" s="1">
        <v>43328</v>
      </c>
      <c r="E20" t="s">
        <v>32</v>
      </c>
      <c r="F20" t="s">
        <v>26</v>
      </c>
    </row>
    <row r="21" spans="2:6" x14ac:dyDescent="0.3">
      <c r="B21" s="2">
        <v>6</v>
      </c>
      <c r="C21" s="3"/>
      <c r="D21" s="3"/>
      <c r="E21" s="2" t="s">
        <v>33</v>
      </c>
      <c r="F21" s="2" t="s">
        <v>10</v>
      </c>
    </row>
    <row r="22" spans="2:6" x14ac:dyDescent="0.3">
      <c r="B22" s="2">
        <v>6</v>
      </c>
      <c r="C22" s="3"/>
      <c r="D22" s="3"/>
      <c r="E22" s="2" t="s">
        <v>34</v>
      </c>
      <c r="F22" s="2" t="s">
        <v>12</v>
      </c>
    </row>
    <row r="23" spans="2:6" x14ac:dyDescent="0.3">
      <c r="B23" s="2">
        <v>6</v>
      </c>
      <c r="C23" s="3"/>
      <c r="D23" s="3"/>
      <c r="E23" s="2" t="s">
        <v>35</v>
      </c>
      <c r="F23" s="2" t="s">
        <v>10</v>
      </c>
    </row>
    <row r="24" spans="2:6" x14ac:dyDescent="0.3">
      <c r="B24" s="2">
        <v>6</v>
      </c>
      <c r="C24" s="3"/>
      <c r="D24" s="3"/>
      <c r="E24" s="2" t="s">
        <v>36</v>
      </c>
      <c r="F24" s="2" t="s">
        <v>14</v>
      </c>
    </row>
    <row r="25" spans="2:6" x14ac:dyDescent="0.3">
      <c r="B25" s="2">
        <v>6</v>
      </c>
      <c r="C25" s="3"/>
      <c r="D25" s="3"/>
      <c r="E25" s="2" t="s">
        <v>37</v>
      </c>
      <c r="F25" s="2" t="s">
        <v>38</v>
      </c>
    </row>
  </sheetData>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7</vt:i4>
      </vt:variant>
      <vt:variant>
        <vt:lpstr>Іменовані діапазони</vt:lpstr>
      </vt:variant>
      <vt:variant>
        <vt:i4>2</vt:i4>
      </vt:variant>
    </vt:vector>
  </HeadingPairs>
  <TitlesOfParts>
    <vt:vector size="9" baseType="lpstr">
      <vt:lpstr>Individual banks</vt:lpstr>
      <vt:lpstr>Comparison with group</vt:lpstr>
      <vt:lpstr>Comparison of banks</vt:lpstr>
      <vt:lpstr>Capital need</vt:lpstr>
      <vt:lpstr>Data table</vt:lpstr>
      <vt:lpstr>ST results (eng)</vt:lpstr>
      <vt:lpstr>List</vt:lpstr>
      <vt:lpstr>'ST results (eng)'!Заголовки_для_друку</vt:lpstr>
      <vt:lpstr>'ST results (eng)'!Область_друку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2019-06-11T13:29:50Z</dcterms:modified>
</cp:coreProperties>
</file>