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EXTERNAL_DEBT\2021\4Q\Сайт НБУ\"/>
    </mc:Choice>
  </mc:AlternateContent>
  <bookViews>
    <workbookView xWindow="0" yWindow="0" windowWidth="10872" windowHeight="10452" tabRatio="538" activeTab="3"/>
  </bookViews>
  <sheets>
    <sheet name="1" sheetId="2" r:id="rId1"/>
    <sheet name="1.1" sheetId="1" r:id="rId2"/>
    <sheet name="1.2" sheetId="3" r:id="rId3"/>
    <sheet name="1.3" sheetId="4" r:id="rId4"/>
    <sheet name="1.4" sheetId="6" r:id="rId5"/>
    <sheet name="1.5"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4">#REF!</definedName>
    <definedName name="\C" localSheetId="4">#REF!</definedName>
    <definedName name="\C" localSheetId="5">#REF!</definedName>
    <definedName name="\C">#REF!</definedName>
    <definedName name="\D" localSheetId="4">#REF!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tab06">#REF!</definedName>
    <definedName name="___tab07">#REF!</definedName>
    <definedName name="___Tab1">#REF!</definedName>
    <definedName name="___UKR1">#REF!</definedName>
    <definedName name="___UKR2">#REF!</definedName>
    <definedName name="___UKR3">#REF!</definedName>
    <definedName name="__tab06">#REF!</definedName>
    <definedName name="__tab07">#REF!</definedName>
    <definedName name="__Tab1">#REF!</definedName>
    <definedName name="__UKR1">#REF!</definedName>
    <definedName name="__UKR2">#REF!</definedName>
    <definedName name="__UKR3">#REF!</definedName>
    <definedName name="_tab06">#REF!</definedName>
    <definedName name="_tab07">#REF!</definedName>
    <definedName name="_Tab1">#REF!</definedName>
    <definedName name="_UKR1">#REF!</definedName>
    <definedName name="_UKR2">#REF!</definedName>
    <definedName name="_UKR3">#REF!</definedName>
    <definedName name="_xlnm._FilterDatabase" localSheetId="5" hidden="1">'1.5'!$A$7:$J$31</definedName>
    <definedName name="a" localSheetId="5">#REF!</definedName>
    <definedName name="a">#REF!</definedName>
    <definedName name="Agency_List">[1]Control!$H$17:$H$19</definedName>
    <definedName name="All_Data" localSheetId="5">#REF!</definedName>
    <definedName name="All_Data">#REF!</definedName>
    <definedName name="Balance_of_payments" localSheetId="5">#REF!</definedName>
    <definedName name="Balance_of_payments">#REF!</definedName>
    <definedName name="bp" localSheetId="4"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 localSheetId="5">#REF!</definedName>
    <definedName name="BudArrears">#REF!</definedName>
    <definedName name="budfin" localSheetId="5">#REF!</definedName>
    <definedName name="budfin">#REF!</definedName>
    <definedName name="Budget" localSheetId="5">#REF!</definedName>
    <definedName name="Budget">#REF!</definedName>
    <definedName name="budget_financing">#REF!</definedName>
    <definedName name="Central">#REF!</definedName>
    <definedName name="Coordinator_List">[1]Control!$J$20:$J$21</definedName>
    <definedName name="Country">[3]Control!$C$1</definedName>
    <definedName name="ctyList" localSheetId="5">#REF!</definedName>
    <definedName name="ctyList">#REF!</definedName>
    <definedName name="Currency_Def">[1]Control!$BA$330:$BA$487</definedName>
    <definedName name="Current_account" localSheetId="5">#REF!</definedName>
    <definedName name="Current_account">#REF!</definedName>
    <definedName name="DATES" localSheetId="5">#REF!</definedName>
    <definedName name="DATES">#REF!</definedName>
    <definedName name="DATESA" localSheetId="5">#REF!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oreign_liabilities">#REF!</definedName>
    <definedName name="GDPgrowth">#REF!</definedName>
    <definedName name="Gross_reserves">#REF!</definedName>
    <definedName name="HERE">#REF!</definedName>
    <definedName name="In_millions_of_lei">#REF!</definedName>
    <definedName name="In_millions_of_U.S._dollars">#REF!</definedName>
    <definedName name="k" localSheetId="4" hidden="1">{"WEO",#N/A,FALSE,"T"}</definedName>
    <definedName name="k" localSheetId="5" hidden="1">{"WEO",#N/A,FALSE,"T"}</definedName>
    <definedName name="k" hidden="1">{"WEO",#N/A,FALSE,"T"}</definedName>
    <definedName name="KEND">#REF!</definedName>
    <definedName name="KMENU">#REF!</definedName>
    <definedName name="liquidity_reserve">#REF!</definedName>
    <definedName name="Local">#REF!</definedName>
    <definedName name="m" localSheetId="4" hidden="1">{#N/A,#N/A,FALSE,"I";#N/A,#N/A,FALSE,"J";#N/A,#N/A,FALSE,"K";#N/A,#N/A,FALSE,"L";#N/A,#N/A,FALSE,"M";#N/A,#N/A,FALSE,"N";#N/A,#N/A,FALSE,"O"}</definedName>
    <definedName name="m" localSheetId="5"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4" hidden="1">{"MONA",#N/A,FALSE,"S"}</definedName>
    <definedName name="mn" localSheetId="5"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 localSheetId="4">[4]labels!#REF!</definedName>
    <definedName name="p" localSheetId="5">[4]labels!#REF!</definedName>
    <definedName name="p">[5]labels!#REF!</definedName>
    <definedName name="PEND">#REF!</definedName>
    <definedName name="Pilot2">#REF!</definedName>
    <definedName name="PMENU">#REF!</definedName>
    <definedName name="PRINT_AREA_MI">#REF!</definedName>
    <definedName name="Range_Country">#REF!</definedName>
    <definedName name="Range_DownloadAnnual">[2]Control!$C$4</definedName>
    <definedName name="Range_DownloadDateTime" localSheetId="5">#REF!</definedName>
    <definedName name="Range_DownloadDateTime">#REF!</definedName>
    <definedName name="Range_DownloadMonth">[2]Control!$C$2</definedName>
    <definedName name="Range_DownloadQuarter">[2]Control!$C$3</definedName>
    <definedName name="Range_DSTNotes" localSheetId="5">#REF!</definedName>
    <definedName name="Range_DSTNotes">#REF!</definedName>
    <definedName name="Range_InValidResultsStart" localSheetId="5">#REF!</definedName>
    <definedName name="Range_InValidResultsStart">#REF!</definedName>
    <definedName name="Range_NumberofFailuresStart" localSheetId="5">#REF!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 localSheetId="5">#REF!</definedName>
    <definedName name="RevA">#REF!</definedName>
    <definedName name="RevB" localSheetId="5">#REF!</definedName>
    <definedName name="RevB">#REF!</definedName>
    <definedName name="rrrrr">[6]Control!$A$19:$A$20</definedName>
    <definedName name="rrrrrrrrrr">[6]Control!$C$4</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encount" hidden="1">2</definedName>
    <definedName name="SUMMARY1">#REF!</definedName>
    <definedName name="SUMMARY2">#REF!</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 localSheetId="4">#REF!,[7]Contents!$A$87:$H$247</definedName>
    <definedName name="Table135" localSheetId="5">#REF!,[7]Contents!$A$87:$H$247</definedName>
    <definedName name="Table135">#REF!,[8]Contents!$A$87:$H$247</definedName>
    <definedName name="Table16_2000" localSheetId="5">#REF!</definedName>
    <definedName name="Table16_2000">#REF!</definedName>
    <definedName name="Table17">#REF!</definedName>
    <definedName name="Table19">#REF!</definedName>
    <definedName name="Table20">#REF!</definedName>
    <definedName name="Table21" localSheetId="4">#REF!,[9]Contents!$A$87:$H$247</definedName>
    <definedName name="Table21" localSheetId="5">#REF!,[9]Contents!$A$87:$H$247</definedName>
    <definedName name="Table21">#REF!,[10]Contents!$A$87:$H$247</definedName>
    <definedName name="Table22" localSheetId="5">#REF!</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BOP_MIDTERM." localSheetId="4" hidden="1">{"BOP_TAB",#N/A,FALSE,"N";"MIDTERM_TAB",#N/A,FALSE,"O"}</definedName>
    <definedName name="wrn.BOP_MIDTERM." localSheetId="5" hidden="1">{"BOP_TAB",#N/A,FALSE,"N";"MIDTERM_TAB",#N/A,FALSE,"O"}</definedName>
    <definedName name="wrn.BOP_MIDTERM." hidden="1">{"BOP_TAB",#N/A,FALSE,"N";"MIDTERM_TAB",#N/A,FALSE,"O"}</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4" hidden="1">{"MONA",#N/A,FALSE,"S"}</definedName>
    <definedName name="wrn.MONA." localSheetId="5" hidden="1">{"MONA",#N/A,FALSE,"S"}</definedName>
    <definedName name="wrn.MONA." hidden="1">{"MONA",#N/A,FALSE,"S"}</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WEO." localSheetId="4" hidden="1">{"WEO",#N/A,FALSE,"T"}</definedName>
    <definedName name="wrn.WEO." localSheetId="5" hidden="1">{"WEO",#N/A,FALSE,"T"}</definedName>
    <definedName name="wrn.WEO." hidden="1">{"WEO",#N/A,FALSE,"T"}</definedName>
    <definedName name="www">[11]Control!$B$13</definedName>
    <definedName name="Year">[3]Control!$C$3</definedName>
    <definedName name="zDollarGDP">[12]ass!$A$7:$IV$7</definedName>
    <definedName name="zGDPgrowth" localSheetId="5">#REF!</definedName>
    <definedName name="zGDPgrowth">#REF!</definedName>
    <definedName name="zIGNFS" localSheetId="5">#REF!</definedName>
    <definedName name="zIGNFS">#REF!</definedName>
    <definedName name="zImports" localSheetId="5">#REF!</definedName>
    <definedName name="zImports">#REF!</definedName>
    <definedName name="zLiborUS">#REF!</definedName>
    <definedName name="zReserves">[12]oth!$A$17:$IV$17</definedName>
    <definedName name="zRoWCPIchange" localSheetId="5">#REF!</definedName>
    <definedName name="zRoWCPIchange">#REF!</definedName>
    <definedName name="zSDReRate">[12]ass!$A$24:$IV$24</definedName>
    <definedName name="zXGNFS" localSheetId="5">#REF!</definedName>
    <definedName name="zXGNFS">#REF!</definedName>
    <definedName name="_xlnm.Database" localSheetId="5">#REF!</definedName>
    <definedName name="_xlnm.Database">#REF!</definedName>
    <definedName name="ккк" localSheetId="5">#REF!</definedName>
    <definedName name="ккк">#REF!</definedName>
    <definedName name="ннннннн" localSheetId="4"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'1'!$C$1:$C$11</definedName>
    <definedName name="_xlnm.Print_Area" localSheetId="1">'1.1'!$A$2:$T$55</definedName>
    <definedName name="_xlnm.Print_Area" localSheetId="2">'1.2'!$B$2:$H$22</definedName>
    <definedName name="_xlnm.Print_Area" localSheetId="3">'1.3'!$A$3:$D$70</definedName>
    <definedName name="_xlnm.Print_Area" localSheetId="4">'1.4'!$A$1:$P$36</definedName>
    <definedName name="_xlnm.Print_Area" localSheetId="5">'1.5'!$A$1:$J$36</definedName>
    <definedName name="_xlnm.Print_Area">#REF!</definedName>
    <definedName name="Область_печати_ИМ" localSheetId="5">#REF!</definedName>
    <definedName name="Область_печати_ИМ">#REF!</definedName>
    <definedName name="ррпеак" localSheetId="4" hidden="1">{"MONA",#N/A,FALSE,"S"}</definedName>
    <definedName name="ррпеак" localSheetId="5" hidden="1">{"MONA",#N/A,FALSE,"S"}</definedName>
    <definedName name="ррпеак" hidden="1">{"MONA",#N/A,FALSE,"S"}</definedName>
    <definedName name="рррррр" localSheetId="4"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4"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ыва3">#REF!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A2" i="6"/>
  <c r="B3" i="3" l="1"/>
  <c r="T5" i="1" l="1"/>
  <c r="T4" i="1"/>
  <c r="A2" i="1" l="1"/>
  <c r="S5" i="1" l="1"/>
  <c r="C6" i="2"/>
  <c r="J6" i="7"/>
  <c r="I6" i="7"/>
  <c r="H6" i="7"/>
  <c r="G6" i="7"/>
  <c r="F6" i="7"/>
  <c r="E6" i="7"/>
  <c r="D6" i="7"/>
  <c r="C6" i="7"/>
  <c r="B6" i="7"/>
  <c r="H5" i="7"/>
  <c r="E4" i="7"/>
  <c r="B4" i="7"/>
  <c r="J3" i="7"/>
  <c r="B4" i="3"/>
  <c r="B2" i="3"/>
  <c r="Q5" i="1"/>
  <c r="C5" i="2"/>
  <c r="P7" i="6"/>
  <c r="O7" i="6"/>
  <c r="N7" i="6"/>
  <c r="M7" i="6"/>
  <c r="L7" i="6"/>
  <c r="K7" i="6"/>
  <c r="J7" i="6"/>
  <c r="I7" i="6"/>
  <c r="H7" i="6"/>
  <c r="G7" i="6"/>
  <c r="F7" i="6"/>
  <c r="E7" i="6"/>
  <c r="D7" i="6"/>
  <c r="C7" i="6"/>
  <c r="B7" i="6"/>
  <c r="E4" i="6"/>
  <c r="B4" i="6"/>
  <c r="A4" i="6"/>
  <c r="P3" i="6"/>
  <c r="P5" i="1"/>
  <c r="D6" i="4"/>
  <c r="C1" i="2"/>
  <c r="O5" i="1"/>
  <c r="R5" i="1"/>
  <c r="B5" i="1"/>
  <c r="D5" i="4"/>
  <c r="A39" i="4"/>
  <c r="A3" i="4"/>
  <c r="C4" i="2"/>
  <c r="C6" i="4"/>
  <c r="B6" i="4"/>
  <c r="A68" i="4"/>
  <c r="A67" i="4"/>
  <c r="A65" i="4"/>
  <c r="A64" i="4"/>
  <c r="A63" i="4"/>
  <c r="A62" i="4"/>
  <c r="A61" i="4"/>
  <c r="A60" i="4"/>
  <c r="A59" i="4"/>
  <c r="A58" i="4"/>
  <c r="A57" i="4"/>
  <c r="A56" i="4"/>
  <c r="A55" i="4"/>
  <c r="A51" i="4"/>
  <c r="A50" i="4"/>
  <c r="A49" i="4"/>
  <c r="A48" i="4"/>
  <c r="A47" i="4"/>
  <c r="A46" i="4"/>
  <c r="A45" i="4"/>
  <c r="A44" i="4"/>
  <c r="A43" i="4"/>
  <c r="A42" i="4"/>
  <c r="A41" i="4"/>
  <c r="A54" i="4"/>
  <c r="A53" i="4"/>
  <c r="A40" i="4"/>
  <c r="A37" i="4"/>
  <c r="A36" i="4"/>
  <c r="A35" i="4"/>
  <c r="A34" i="4"/>
  <c r="A33" i="4"/>
  <c r="A32" i="4"/>
  <c r="A31" i="4"/>
  <c r="A30" i="4"/>
  <c r="A29" i="4"/>
  <c r="A28" i="4"/>
  <c r="A27" i="4"/>
  <c r="A26" i="4"/>
  <c r="A25" i="4"/>
  <c r="A24" i="4"/>
  <c r="A22" i="4"/>
  <c r="A21" i="4"/>
  <c r="A20" i="4"/>
  <c r="A19" i="4"/>
  <c r="A18" i="4"/>
  <c r="A17" i="4"/>
  <c r="A16" i="4"/>
  <c r="A15" i="4"/>
  <c r="A14" i="4"/>
  <c r="A11" i="4"/>
  <c r="A13" i="4"/>
  <c r="A12" i="4"/>
  <c r="A10" i="4"/>
  <c r="A9" i="4"/>
  <c r="C2" i="2"/>
  <c r="A5" i="1"/>
  <c r="B7" i="3"/>
  <c r="M5" i="1"/>
  <c r="L5" i="1"/>
  <c r="K5" i="1"/>
  <c r="J5" i="1"/>
  <c r="I5" i="1"/>
  <c r="H5" i="1"/>
  <c r="G5" i="1"/>
  <c r="F5" i="1"/>
  <c r="E5" i="1"/>
  <c r="D5" i="1"/>
  <c r="C5" i="1"/>
  <c r="N5" i="1"/>
  <c r="A3" i="1"/>
  <c r="C6" i="3"/>
  <c r="D6" i="3"/>
  <c r="E6" i="3"/>
  <c r="F6" i="3"/>
  <c r="G6" i="3"/>
  <c r="H6" i="3"/>
  <c r="H5" i="3"/>
  <c r="B20" i="3"/>
  <c r="B19" i="3"/>
  <c r="B16" i="3"/>
  <c r="B13" i="3"/>
  <c r="B10" i="3"/>
  <c r="B18" i="3"/>
  <c r="B17" i="3"/>
  <c r="B15" i="3"/>
  <c r="B14" i="3"/>
  <c r="B12" i="3"/>
  <c r="B11" i="3"/>
  <c r="B9" i="3"/>
  <c r="B8" i="3"/>
  <c r="C3" i="2"/>
</calcChain>
</file>

<file path=xl/sharedStrings.xml><?xml version="1.0" encoding="utf-8"?>
<sst xmlns="http://schemas.openxmlformats.org/spreadsheetml/2006/main" count="130" uniqueCount="77">
  <si>
    <t>укр</t>
  </si>
  <si>
    <t>eng</t>
  </si>
  <si>
    <t xml:space="preserve"> </t>
  </si>
  <si>
    <t>Усього</t>
  </si>
  <si>
    <t>Кіпр</t>
  </si>
  <si>
    <t>Нідерланди</t>
  </si>
  <si>
    <t>Німеччина</t>
  </si>
  <si>
    <t>Російська Федерація</t>
  </si>
  <si>
    <t>Австрія</t>
  </si>
  <si>
    <t>Мальта</t>
  </si>
  <si>
    <t>Швейцарія</t>
  </si>
  <si>
    <t>Панама</t>
  </si>
  <si>
    <t>Об'єднані Арабські Емірати</t>
  </si>
  <si>
    <t>Польща</t>
  </si>
  <si>
    <t>Франція</t>
  </si>
  <si>
    <t>Беліз</t>
  </si>
  <si>
    <t>Швеція</t>
  </si>
  <si>
    <t>Естонія</t>
  </si>
  <si>
    <t>Туреччина</t>
  </si>
  <si>
    <t>Греція</t>
  </si>
  <si>
    <t>Сейшельські Острови</t>
  </si>
  <si>
    <t>Інші країни</t>
  </si>
  <si>
    <t>Саудівська Аравія</t>
  </si>
  <si>
    <t>Боргові зобов'язання підприємств прямого інвестування перед прямими інвесторами</t>
  </si>
  <si>
    <t>кредити прямого інвестора</t>
  </si>
  <si>
    <t>торгові кредити</t>
  </si>
  <si>
    <t>Боргові зобов'язання прямих інвесторів перед підприємствами прямого інвестування (зворотне інвестування) </t>
  </si>
  <si>
    <t>Боргові зобов'язання між сестринськими підприємствами</t>
  </si>
  <si>
    <t>31/12/2021</t>
  </si>
  <si>
    <t>Дата останнього оновлення 21.03.2022</t>
  </si>
  <si>
    <t xml:space="preserve">Дані із заборгованості за статтями «Інші сектори, короткострокові кредити», «Інші сектори, довгострокові кредити» та «Прямі інвестиції, міжфірмовий борг» зовнішнього боргу за 2015 – ІІ квартал 2021 року переглянуто з метою врахування кредитів, отриманих від сестринських компаній-нерезидентів. Перегляд цих даних не впливає на загальну суму валового зовнішнього боргу:
     • заборгованість за кредитами між сестринськими підприємствами відображено в статті «Прямі інвестиції: міжфірмовий борг, боргові зобов'язання між сестринськими підприємствами»;
     • з одночасним коригуванням статей «Інші сектори, короткострокові кредити» та «Інші сектори, довгострокові кредити» та «Прямі інвестиції, міжфірмовий борг, боргові зобов'язання підприємств прямого інвестування перед прямими інвесторами».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t>
  </si>
  <si>
    <t>1 Дані статей «Інші сектори, короткострокові кредити», «Інші сектори, довгострокові кредити» та «Прямі інвестиції, міжфірмовий борг» складені з урахування кредитів, отриманих від сестринських компаній-нерезидентів.</t>
  </si>
  <si>
    <t xml:space="preserve"> Сектор загального державного управління</t>
  </si>
  <si>
    <t xml:space="preserve">  Короткострокові</t>
  </si>
  <si>
    <t xml:space="preserve">    Боргові цінні папери</t>
  </si>
  <si>
    <t xml:space="preserve">    Кредити</t>
  </si>
  <si>
    <t xml:space="preserve">  Довгострокові</t>
  </si>
  <si>
    <t xml:space="preserve">    Pозподіл СПЗ</t>
  </si>
  <si>
    <t xml:space="preserve"> Центральний банк</t>
  </si>
  <si>
    <t xml:space="preserve">    Валюта і депозити</t>
  </si>
  <si>
    <t xml:space="preserve"> Інші депозитні корпорації</t>
  </si>
  <si>
    <t xml:space="preserve"> Інші сектори</t>
  </si>
  <si>
    <t xml:space="preserve">    Торгові кредити та аванси</t>
  </si>
  <si>
    <t xml:space="preserve">    Боргові цінні папери </t>
  </si>
  <si>
    <t xml:space="preserve"> Прямі інвестиції: міжфірмовий борг</t>
  </si>
  <si>
    <t xml:space="preserve"> Валовий  зовнішній борг</t>
  </si>
  <si>
    <t>Довідково</t>
  </si>
  <si>
    <t xml:space="preserve"> Прострочена заборгованість за негарантованими кредитами реального сектору, в т.ч. від прямих інвесторів</t>
  </si>
  <si>
    <t>Відповідно до методології складання статистики зовнішнього боргу дані можуть бути уточнені впродовж 5-ти кварталів після першої публікації.</t>
  </si>
  <si>
    <t>1 З початку 2014 року дані без урахування статистики за Автономною Республікою Крим.</t>
  </si>
  <si>
    <t>2 Дані статей «Інші сектори, короткострокові кредити», «Інші сектори, довгострокові кредити» та «Прямі інвестиції, міжфірмовий борг» за 2015 – ІІ квартал 2021 року були переглянуті з метою врахування кредитів, отриманих від сестринських компаній-нерезидентів.</t>
  </si>
  <si>
    <t>Сполучене Королівство Великої Британії та Північної Ірландії</t>
  </si>
  <si>
    <t>Люксембург</t>
  </si>
  <si>
    <t>Сполучені Штати Америки</t>
  </si>
  <si>
    <t>Віргінські Острови (Британія)</t>
  </si>
  <si>
    <t>Гонконг</t>
  </si>
  <si>
    <t>Ізраїль</t>
  </si>
  <si>
    <t>Острів Мен</t>
  </si>
  <si>
    <t>Кайманові Острови</t>
  </si>
  <si>
    <t>USA</t>
  </si>
  <si>
    <t>Switzerland</t>
  </si>
  <si>
    <r>
      <t>Географічна структура зовнішної простроченої заборгованості за кредитами реального сектору</t>
    </r>
    <r>
      <rPr>
        <b/>
        <vertAlign val="superscript"/>
        <sz val="9"/>
        <color rgb="FF000000"/>
        <rFont val="Arial"/>
        <family val="2"/>
        <charset val="204"/>
      </rPr>
      <t>1, 3</t>
    </r>
  </si>
  <si>
    <t>1 Дані статей «Інші сектори» та «Прямі інвестиції, міжфірмовий борг» складені з урахування кредитів, отриманих від сестринських компаній-нерезидентів.</t>
  </si>
  <si>
    <r>
      <t>1.1 міжфірмовий борг</t>
    </r>
    <r>
      <rPr>
        <b/>
        <vertAlign val="superscript"/>
        <sz val="9"/>
        <color rgb="FF000000"/>
        <rFont val="Arial"/>
        <family val="2"/>
        <charset val="204"/>
      </rPr>
      <t>2</t>
    </r>
  </si>
  <si>
    <r>
      <rPr>
        <vertAlign val="superscript"/>
        <sz val="9"/>
        <color rgb="FF000000"/>
        <rFont val="Arial"/>
        <family val="2"/>
        <charset val="204"/>
      </rPr>
      <t>1</t>
    </r>
    <r>
      <rPr>
        <sz val="9"/>
        <color rgb="FF000000"/>
        <rFont val="Arial"/>
        <family val="2"/>
        <charset val="204"/>
      </rPr>
      <t xml:space="preserve"> Крім єврооблігацій та кредитів, наданих під гарантію Уряду</t>
    </r>
  </si>
  <si>
    <r>
      <rPr>
        <vertAlign val="superscript"/>
        <sz val="9"/>
        <color rgb="FF000000"/>
        <rFont val="Arial"/>
        <family val="2"/>
        <charset val="204"/>
      </rPr>
      <t>2</t>
    </r>
    <r>
      <rPr>
        <sz val="9"/>
        <color rgb="FF000000"/>
        <rFont val="Arial"/>
        <family val="2"/>
        <charset val="204"/>
      </rPr>
      <t xml:space="preserve"> Без урахування міжбанківських кредитів</t>
    </r>
  </si>
  <si>
    <r>
      <rPr>
        <vertAlign val="superscript"/>
        <sz val="9"/>
        <color rgb="FF000000"/>
        <rFont val="Arial"/>
        <family val="2"/>
        <charset val="204"/>
      </rPr>
      <t>3</t>
    </r>
    <r>
      <rPr>
        <sz val="9"/>
        <color rgb="FF000000"/>
        <rFont val="Arial"/>
        <family val="2"/>
        <charset val="204"/>
      </rPr>
      <t xml:space="preserve"> Без урахування торгових кредитів</t>
    </r>
  </si>
  <si>
    <r>
      <rPr>
        <vertAlign val="superscript"/>
        <sz val="9"/>
        <color rgb="FF000000"/>
        <rFont val="Arial"/>
        <family val="2"/>
        <charset val="204"/>
      </rPr>
      <t>4</t>
    </r>
    <r>
      <rPr>
        <sz val="9"/>
        <color rgb="FF000000"/>
        <rFont val="Arial"/>
        <family val="2"/>
        <charset val="204"/>
      </rPr>
      <t xml:space="preserve"> Структура заборгованості за кредитами надана з урахування кредитів, отриманих від сестринських компаній-нерезидентів. </t>
    </r>
  </si>
  <si>
    <r>
      <t>1. Депозитні корпорації (крім НБУ)</t>
    </r>
    <r>
      <rPr>
        <b/>
        <vertAlign val="superscript"/>
        <sz val="9"/>
        <color theme="1"/>
        <rFont val="Arial"/>
        <family val="2"/>
        <charset val="204"/>
      </rPr>
      <t>2</t>
    </r>
  </si>
  <si>
    <t>2. Нефінансові корпорації</t>
  </si>
  <si>
    <t>з них:</t>
  </si>
  <si>
    <r>
      <t>2.1 міжфірмовий борг</t>
    </r>
    <r>
      <rPr>
        <b/>
        <vertAlign val="superscript"/>
        <sz val="9"/>
        <color theme="1"/>
        <rFont val="Arial"/>
        <family val="2"/>
        <charset val="204"/>
      </rPr>
      <t>3</t>
    </r>
  </si>
  <si>
    <t>2.2 інші негарантовані кредити</t>
  </si>
  <si>
    <r>
      <t xml:space="preserve">Географічна структура зовнішньої заборгованості за кредитами приватного сектору </t>
    </r>
    <r>
      <rPr>
        <b/>
        <vertAlign val="superscript"/>
        <sz val="9"/>
        <color theme="1"/>
        <rFont val="Arial"/>
        <family val="2"/>
        <charset val="204"/>
      </rPr>
      <t>1, 4</t>
    </r>
  </si>
  <si>
    <r>
      <rPr>
        <vertAlign val="superscript"/>
        <sz val="9"/>
        <color rgb="FF000000"/>
        <rFont val="Arial"/>
        <family val="2"/>
        <charset val="204"/>
      </rPr>
      <t>1</t>
    </r>
    <r>
      <rPr>
        <sz val="9"/>
        <color rgb="FF000000"/>
        <rFont val="Arial"/>
        <family val="2"/>
        <charset val="204"/>
      </rPr>
      <t xml:space="preserve"> Крім єврооблігацій та кредитів, наданих під гарантію Уряду.</t>
    </r>
  </si>
  <si>
    <r>
      <rPr>
        <vertAlign val="superscript"/>
        <sz val="9"/>
        <color rgb="FF000000"/>
        <rFont val="Arial"/>
        <family val="2"/>
        <charset val="204"/>
      </rPr>
      <t xml:space="preserve">2 </t>
    </r>
    <r>
      <rPr>
        <sz val="9"/>
        <color rgb="FF000000"/>
        <rFont val="Arial"/>
        <family val="2"/>
        <charset val="204"/>
      </rPr>
      <t>Без урахування торгових кредитів.</t>
    </r>
  </si>
  <si>
    <r>
      <rPr>
        <vertAlign val="superscript"/>
        <sz val="9"/>
        <color rgb="FF000000"/>
        <rFont val="Arial"/>
        <family val="2"/>
        <charset val="204"/>
      </rPr>
      <t>3</t>
    </r>
    <r>
      <rPr>
        <sz val="9"/>
        <color rgb="FF000000"/>
        <rFont val="Arial"/>
        <family val="2"/>
        <charset val="204"/>
      </rPr>
      <t xml:space="preserve"> Структура заборгованості за кредитами надана з урахування кредитів, отриманих від сестринських компаній-нерезидентів.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</si>
</sst>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_-* #,##0.00_₴_-;\-* #,##0.00_₴_-;_-* &quot;-&quot;??_₴_-;_-@_-"/>
    <numFmt numFmtId="166" formatCode="_-* #,##0\ _г_р_н_._-;\-* #,##0\ _г_р_н_._-;_-* &quot;-&quot;\ _г_р_н_._-;_-@_-"/>
    <numFmt numFmtId="167" formatCode="_-* #,##0.00\ _г_р_н_._-;\-* #,##0.00\ _г_р_н_._-;_-* &quot;-&quot;??\ _г_р_н_._-;_-@_-"/>
    <numFmt numFmtId="168" formatCode="0.0"/>
    <numFmt numFmtId="169" formatCode="_-* #,##0_р_._-;\-* #,##0_р_._-;_-* &quot;-&quot;_р_._-;_-@_-"/>
    <numFmt numFmtId="170" formatCode="\M\o\n\t\h\ \D.\y\y\y\y"/>
    <numFmt numFmtId="171" formatCode="#,##0.0"/>
    <numFmt numFmtId="172" formatCode="0.000"/>
    <numFmt numFmtId="173" formatCode="#,##0.000"/>
  </numFmts>
  <fonts count="76">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1"/>
      <name val="Times New Roman"/>
      <family val="1"/>
      <charset val="204"/>
    </font>
    <font>
      <u/>
      <sz val="11"/>
      <color indexed="12"/>
      <name val="Times New Roman Cyr"/>
      <charset val="204"/>
    </font>
    <font>
      <b/>
      <sz val="10"/>
      <color indexed="8"/>
      <name val="Verdana"/>
      <family val="2"/>
      <charset val="204"/>
    </font>
    <font>
      <sz val="10"/>
      <name val="Arial"/>
      <family val="2"/>
      <charset val="204"/>
    </font>
    <font>
      <b/>
      <sz val="13"/>
      <color indexed="9"/>
      <name val="Verdana"/>
      <family val="2"/>
      <charset val="204"/>
    </font>
    <font>
      <sz val="1"/>
      <color indexed="8"/>
      <name val="Courier"/>
      <family val="3"/>
    </font>
    <font>
      <b/>
      <sz val="1"/>
      <color indexed="8"/>
      <name val="Courier"/>
      <family val="3"/>
    </font>
    <font>
      <sz val="10"/>
      <color indexed="8"/>
      <name val="Arial"/>
      <family val="2"/>
      <charset val="204"/>
    </font>
    <font>
      <sz val="10"/>
      <name val="TimesET"/>
    </font>
    <font>
      <sz val="11"/>
      <color indexed="8"/>
      <name val="Calibri"/>
      <family val="2"/>
      <charset val="204"/>
    </font>
    <font>
      <sz val="10"/>
      <name val="Arial Cyr"/>
      <family val="2"/>
      <charset val="204"/>
    </font>
    <font>
      <sz val="10"/>
      <name val="Helv"/>
      <charset val="204"/>
    </font>
    <font>
      <b/>
      <sz val="10"/>
      <name val="Arial Cyr"/>
      <charset val="204"/>
    </font>
    <font>
      <sz val="11"/>
      <color indexed="9"/>
      <name val="Calibri"/>
      <family val="2"/>
      <charset val="204"/>
    </font>
    <font>
      <sz val="10"/>
      <color indexed="9"/>
      <name val="Arial"/>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Times New Roman"/>
      <family val="1"/>
    </font>
    <font>
      <sz val="11"/>
      <color indexed="8"/>
      <name val="Calibri"/>
      <family val="2"/>
    </font>
    <font>
      <b/>
      <sz val="11"/>
      <color indexed="63"/>
      <name val="Calibri"/>
      <family val="2"/>
      <charset val="204"/>
    </font>
    <font>
      <b/>
      <sz val="8"/>
      <color indexed="8"/>
      <name val="Arial Narrow"/>
      <family val="2"/>
      <charset val="204"/>
    </font>
    <font>
      <sz val="8"/>
      <color indexed="8"/>
      <name val="Arial Narrow"/>
      <family val="2"/>
      <charset val="204"/>
    </font>
    <font>
      <sz val="10"/>
      <color indexed="8"/>
      <name val="Arial"/>
      <family val="2"/>
    </font>
    <font>
      <b/>
      <sz val="18"/>
      <color indexed="56"/>
      <name val="Cambria"/>
      <family val="2"/>
      <charset val="204"/>
    </font>
    <font>
      <sz val="11"/>
      <color indexed="10"/>
      <name val="Calibri"/>
      <family val="2"/>
      <charset val="204"/>
    </font>
    <font>
      <sz val="10"/>
      <color indexed="62"/>
      <name val="Arial"/>
      <family val="2"/>
      <charset val="204"/>
    </font>
    <font>
      <b/>
      <sz val="10"/>
      <color indexed="63"/>
      <name val="Arial"/>
      <family val="2"/>
      <charset val="204"/>
    </font>
    <font>
      <b/>
      <sz val="10"/>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0"/>
      <color indexed="8"/>
      <name val="Arial"/>
      <family val="2"/>
      <charset val="204"/>
    </font>
    <font>
      <b/>
      <sz val="11"/>
      <color indexed="8"/>
      <name val="Calibri"/>
      <family val="2"/>
      <charset val="204"/>
    </font>
    <font>
      <b/>
      <sz val="10"/>
      <color indexed="9"/>
      <name val="Arial"/>
      <family val="2"/>
      <charset val="204"/>
    </font>
    <font>
      <sz val="10"/>
      <color indexed="60"/>
      <name val="Arial"/>
      <family val="2"/>
      <charset val="204"/>
    </font>
    <font>
      <sz val="10"/>
      <color indexed="20"/>
      <name val="Arial"/>
      <family val="2"/>
      <charset val="204"/>
    </font>
    <font>
      <i/>
      <sz val="10"/>
      <color indexed="23"/>
      <name val="Arial"/>
      <family val="2"/>
      <charset val="204"/>
    </font>
    <font>
      <i/>
      <sz val="10"/>
      <name val="Arial Cyr"/>
      <charset val="204"/>
    </font>
    <font>
      <sz val="10"/>
      <color indexed="52"/>
      <name val="Arial"/>
      <family val="2"/>
      <charset val="204"/>
    </font>
    <font>
      <sz val="10"/>
      <color indexed="10"/>
      <name val="Arial"/>
      <family val="2"/>
      <charset val="204"/>
    </font>
    <font>
      <sz val="10"/>
      <color indexed="17"/>
      <name val="Arial"/>
      <family val="2"/>
      <charset val="204"/>
    </font>
    <font>
      <u/>
      <sz val="10"/>
      <color theme="10"/>
      <name val="Arial Cyr"/>
      <charset val="204"/>
    </font>
    <font>
      <sz val="9"/>
      <color indexed="9"/>
      <name val="Arial"/>
      <family val="2"/>
      <charset val="204"/>
    </font>
    <font>
      <b/>
      <sz val="9"/>
      <name val="Arial"/>
      <family val="2"/>
      <charset val="204"/>
    </font>
    <font>
      <sz val="9"/>
      <name val="Arial"/>
      <family val="2"/>
      <charset val="204"/>
    </font>
    <font>
      <sz val="9"/>
      <color theme="0"/>
      <name val="Arial"/>
      <family val="2"/>
      <charset val="204"/>
    </font>
    <font>
      <sz val="9"/>
      <color indexed="8"/>
      <name val="Arial"/>
      <family val="2"/>
      <charset val="204"/>
    </font>
    <font>
      <i/>
      <sz val="9"/>
      <name val="Arial"/>
      <family val="2"/>
      <charset val="204"/>
    </font>
    <font>
      <sz val="9"/>
      <color indexed="10"/>
      <name val="Arial"/>
      <family val="2"/>
      <charset val="204"/>
    </font>
    <font>
      <sz val="9"/>
      <color rgb="FFFF0000"/>
      <name val="Arial"/>
      <family val="2"/>
      <charset val="204"/>
    </font>
    <font>
      <b/>
      <sz val="8"/>
      <name val="Arial"/>
      <family val="2"/>
      <charset val="204"/>
    </font>
    <font>
      <sz val="8"/>
      <name val="Arial"/>
      <family val="2"/>
      <charset val="204"/>
    </font>
    <font>
      <b/>
      <sz val="9"/>
      <color rgb="FF000000"/>
      <name val="Arial"/>
      <family val="2"/>
      <charset val="204"/>
    </font>
    <font>
      <sz val="9"/>
      <color theme="1"/>
      <name val="Arial"/>
      <family val="2"/>
      <charset val="204"/>
    </font>
    <font>
      <sz val="9"/>
      <color rgb="FF000000"/>
      <name val="Arial"/>
      <family val="2"/>
      <charset val="204"/>
    </font>
    <font>
      <b/>
      <i/>
      <sz val="9"/>
      <color rgb="FF000000"/>
      <name val="Arial"/>
      <family val="2"/>
      <charset val="204"/>
    </font>
    <font>
      <sz val="10"/>
      <color rgb="FF000000"/>
      <name val="Arial"/>
      <family val="2"/>
      <charset val="204"/>
    </font>
    <font>
      <b/>
      <sz val="9"/>
      <color rgb="FF333333"/>
      <name val="Arial"/>
      <family val="2"/>
      <charset val="204"/>
    </font>
    <font>
      <b/>
      <sz val="9"/>
      <color theme="1"/>
      <name val="Arial"/>
      <family val="2"/>
      <charset val="204"/>
    </font>
    <font>
      <b/>
      <vertAlign val="superscript"/>
      <sz val="9"/>
      <color rgb="FF000000"/>
      <name val="Arial"/>
      <family val="2"/>
      <charset val="204"/>
    </font>
    <font>
      <vertAlign val="superscript"/>
      <sz val="9"/>
      <color rgb="FF000000"/>
      <name val="Arial"/>
      <family val="2"/>
      <charset val="204"/>
    </font>
    <font>
      <b/>
      <vertAlign val="superscript"/>
      <sz val="9"/>
      <color theme="1"/>
      <name val="Arial"/>
      <family val="2"/>
      <charset val="204"/>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right style="thin">
        <color rgb="FFC0C0C0"/>
      </right>
      <top style="thin">
        <color rgb="FFC0C0C0"/>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style="thin">
        <color indexed="64"/>
      </right>
      <top style="thin">
        <color rgb="FFC0C0C0"/>
      </top>
      <bottom style="thin">
        <color indexed="64"/>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style="thin">
        <color indexed="64"/>
      </right>
      <top/>
      <bottom style="thin">
        <color rgb="FFC0C0C0"/>
      </bottom>
      <diagonal/>
    </border>
  </borders>
  <cellStyleXfs count="7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4" fillId="2" borderId="0" applyNumberFormat="0" applyBorder="0" applyAlignment="0" applyProtection="0"/>
    <xf numFmtId="0" fontId="12"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4" fillId="4" borderId="0" applyNumberFormat="0" applyBorder="0" applyAlignment="0" applyProtection="0"/>
    <xf numFmtId="0" fontId="12"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10" borderId="0" applyNumberFormat="0" applyBorder="0" applyAlignment="0" applyProtection="0"/>
    <xf numFmtId="0" fontId="12"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11" borderId="0" applyNumberFormat="0" applyBorder="0" applyAlignment="0" applyProtection="0"/>
    <xf numFmtId="0" fontId="12"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10" borderId="0" applyNumberFormat="0" applyBorder="0" applyAlignment="0" applyProtection="0"/>
    <xf numFmtId="0" fontId="19"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 fontId="7" fillId="22" borderId="3">
      <alignment horizontal="right" vertical="center"/>
    </xf>
    <xf numFmtId="0" fontId="7" fillId="23" borderId="3">
      <alignment horizontal="center" vertical="center"/>
    </xf>
    <xf numFmtId="1" fontId="7" fillId="22" borderId="3">
      <alignment horizontal="right" vertical="center"/>
    </xf>
    <xf numFmtId="0" fontId="8" fillId="22" borderId="0"/>
    <xf numFmtId="0" fontId="9" fillId="24" borderId="3">
      <alignment horizontal="left" vertical="center"/>
    </xf>
    <xf numFmtId="0" fontId="9" fillId="24" borderId="3">
      <alignment horizontal="left" vertical="center"/>
    </xf>
    <xf numFmtId="0" fontId="3" fillId="22" borderId="3">
      <alignment horizontal="left" vertical="center"/>
    </xf>
    <xf numFmtId="169" fontId="3" fillId="0" borderId="0" applyFont="0" applyFill="0" applyBorder="0" applyAlignment="0" applyProtection="0"/>
    <xf numFmtId="170" fontId="10" fillId="0" borderId="0">
      <protection locked="0"/>
    </xf>
    <xf numFmtId="0" fontId="23" fillId="0" borderId="0" applyNumberFormat="0" applyFill="0" applyBorder="0" applyAlignment="0" applyProtection="0"/>
    <xf numFmtId="0" fontId="10" fillId="0" borderId="0">
      <protection locked="0"/>
    </xf>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1" fillId="0" borderId="0">
      <protection locked="0"/>
    </xf>
    <xf numFmtId="0" fontId="11" fillId="0" borderId="0">
      <protection locked="0"/>
    </xf>
    <xf numFmtId="0" fontId="12" fillId="0" borderId="0"/>
    <xf numFmtId="0" fontId="13" fillId="0" borderId="0"/>
    <xf numFmtId="0" fontId="28" fillId="7" borderId="1" applyNumberForma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7" applyNumberFormat="0" applyFill="0" applyAlignment="0" applyProtection="0"/>
    <xf numFmtId="0" fontId="30" fillId="25" borderId="0" applyNumberFormat="0" applyBorder="0" applyAlignment="0" applyProtection="0"/>
    <xf numFmtId="0" fontId="31" fillId="0" borderId="0"/>
    <xf numFmtId="0" fontId="32" fillId="26" borderId="8" applyNumberFormat="0" applyFont="0" applyAlignment="0" applyProtection="0"/>
    <xf numFmtId="164" fontId="13" fillId="0" borderId="0" applyFont="0" applyFill="0" applyBorder="0" applyAlignment="0" applyProtection="0"/>
    <xf numFmtId="0" fontId="33" fillId="20" borderId="9" applyNumberFormat="0" applyAlignment="0" applyProtection="0"/>
    <xf numFmtId="0" fontId="34" fillId="27" borderId="0">
      <alignment horizontal="right" vertical="top"/>
    </xf>
    <xf numFmtId="0" fontId="35" fillId="27" borderId="0">
      <alignment horizontal="center" vertical="center"/>
    </xf>
    <xf numFmtId="0" fontId="34" fillId="27" borderId="0">
      <alignment horizontal="left" vertical="top"/>
    </xf>
    <xf numFmtId="0" fontId="35" fillId="27" borderId="0">
      <alignment horizontal="left" vertical="top"/>
    </xf>
    <xf numFmtId="0" fontId="35" fillId="27" borderId="0">
      <alignment horizontal="right" vertical="top"/>
    </xf>
    <xf numFmtId="0" fontId="35" fillId="27" borderId="0">
      <alignment horizontal="right" vertical="top"/>
    </xf>
    <xf numFmtId="0" fontId="36" fillId="0" borderId="0">
      <alignment vertical="top"/>
    </xf>
    <xf numFmtId="0" fontId="37" fillId="0" borderId="0" applyNumberFormat="0" applyFill="0" applyBorder="0" applyAlignment="0" applyProtection="0"/>
    <xf numFmtId="0" fontId="10" fillId="0" borderId="10">
      <protection locked="0"/>
    </xf>
    <xf numFmtId="0" fontId="38" fillId="0" borderId="0" applyNumberForma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8" fillId="16" borderId="0" applyNumberFormat="0" applyBorder="0" applyAlignment="0" applyProtection="0"/>
    <xf numFmtId="0" fontId="19"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28" fillId="7" borderId="1" applyNumberFormat="0" applyAlignment="0" applyProtection="0"/>
    <xf numFmtId="0" fontId="28"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33" fillId="20" borderId="9" applyNumberFormat="0" applyAlignment="0" applyProtection="0"/>
    <xf numFmtId="0" fontId="40" fillId="20" borderId="9" applyNumberFormat="0" applyAlignment="0" applyProtection="0"/>
    <xf numFmtId="0" fontId="33" fillId="20" borderId="9" applyNumberFormat="0" applyAlignment="0" applyProtection="0"/>
    <xf numFmtId="0" fontId="33"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21" fillId="20" borderId="1" applyNumberFormat="0" applyAlignment="0" applyProtection="0"/>
    <xf numFmtId="0" fontId="41" fillId="20" borderId="1" applyNumberFormat="0" applyAlignment="0" applyProtection="0"/>
    <xf numFmtId="0" fontId="21" fillId="20" borderId="1" applyNumberFormat="0" applyAlignment="0" applyProtection="0"/>
    <xf numFmtId="0" fontId="2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55" fillId="0" borderId="0" applyNumberFormat="0" applyFill="0" applyBorder="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25" fillId="0" borderId="4" applyNumberFormat="0" applyFill="0" applyAlignment="0" applyProtection="0"/>
    <xf numFmtId="0" fontId="42"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26" fillId="0" borderId="5" applyNumberFormat="0" applyFill="0" applyAlignment="0" applyProtection="0"/>
    <xf numFmtId="0" fontId="43"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27" fillId="0" borderId="6" applyNumberFormat="0" applyFill="0" applyAlignment="0" applyProtection="0"/>
    <xf numFmtId="0" fontId="44"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 fillId="0" borderId="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6" fillId="0" borderId="11" applyNumberFormat="0" applyFill="0" applyAlignment="0" applyProtection="0"/>
    <xf numFmtId="0" fontId="45" fillId="0" borderId="11"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22" fillId="21" borderId="2" applyNumberFormat="0" applyAlignment="0" applyProtection="0"/>
    <xf numFmtId="0" fontId="22"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37" fillId="0" borderId="0" applyNumberFormat="0" applyFill="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14" fillId="0" borderId="0"/>
    <xf numFmtId="0" fontId="8" fillId="0" borderId="0"/>
    <xf numFmtId="0" fontId="14" fillId="0" borderId="0"/>
    <xf numFmtId="0" fontId="15" fillId="0" borderId="0"/>
    <xf numFmtId="0" fontId="15"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8" fillId="0" borderId="0"/>
    <xf numFmtId="0" fontId="14" fillId="0" borderId="0"/>
    <xf numFmtId="0" fontId="14" fillId="0" borderId="0"/>
    <xf numFmtId="0" fontId="14" fillId="0" borderId="0"/>
    <xf numFmtId="0" fontId="14" fillId="0" borderId="0"/>
    <xf numFmtId="0" fontId="5" fillId="0" borderId="0"/>
    <xf numFmtId="0" fontId="3" fillId="0" borderId="0"/>
    <xf numFmtId="0" fontId="4" fillId="0" borderId="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2" fillId="26" borderId="8" applyNumberFormat="0" applyFont="0" applyAlignment="0" applyProtection="0"/>
    <xf numFmtId="0" fontId="14" fillId="26" borderId="8" applyNumberFormat="0" applyFont="0" applyAlignment="0" applyProtection="0"/>
    <xf numFmtId="0" fontId="12"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0" fontId="51" fillId="0" borderId="0" applyNumberFormat="0" applyFill="0" applyBorder="0" applyAlignment="0" applyProtection="0"/>
    <xf numFmtId="0" fontId="17" fillId="0" borderId="0" applyNumberFormat="0" applyFill="0" applyBorder="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16"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7" fontId="14"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165" fontId="3" fillId="0" borderId="0" applyFont="0" applyFill="0" applyBorder="0" applyAlignment="0" applyProtection="0"/>
    <xf numFmtId="0" fontId="31" fillId="0" borderId="0"/>
    <xf numFmtId="0" fontId="2" fillId="0" borderId="0"/>
    <xf numFmtId="0" fontId="70" fillId="0" borderId="0"/>
    <xf numFmtId="0" fontId="1" fillId="0" borderId="0"/>
    <xf numFmtId="165" fontId="70" fillId="0" borderId="0" applyFont="0" applyFill="0" applyBorder="0" applyAlignment="0" applyProtection="0"/>
    <xf numFmtId="0" fontId="8" fillId="0" borderId="0"/>
  </cellStyleXfs>
  <cellXfs count="185">
    <xf numFmtId="0" fontId="0" fillId="0" borderId="0" xfId="0"/>
    <xf numFmtId="0" fontId="56" fillId="0" borderId="0" xfId="0" applyFont="1" applyFill="1"/>
    <xf numFmtId="0" fontId="57" fillId="0" borderId="0" xfId="448" applyFont="1"/>
    <xf numFmtId="0" fontId="58" fillId="0" borderId="0" xfId="0" applyFont="1"/>
    <xf numFmtId="0" fontId="59" fillId="0" borderId="0" xfId="0" applyFont="1" applyFill="1"/>
    <xf numFmtId="0" fontId="57" fillId="0" borderId="0" xfId="0" applyFont="1" applyAlignment="1"/>
    <xf numFmtId="0" fontId="59" fillId="0" borderId="0" xfId="448" applyFont="1" applyFill="1" applyAlignment="1" applyProtection="1">
      <alignment wrapText="1"/>
    </xf>
    <xf numFmtId="2" fontId="59" fillId="0" borderId="0" xfId="448" applyNumberFormat="1" applyFont="1" applyFill="1" applyAlignment="1" applyProtection="1">
      <alignment horizontal="left" wrapText="1"/>
    </xf>
    <xf numFmtId="0" fontId="60" fillId="0" borderId="0" xfId="0" applyFont="1" applyFill="1"/>
    <xf numFmtId="0" fontId="57" fillId="0" borderId="0" xfId="0" applyFont="1" applyAlignment="1">
      <alignment horizontal="left"/>
    </xf>
    <xf numFmtId="0" fontId="58" fillId="0" borderId="0" xfId="0" applyFont="1" applyFill="1" applyAlignment="1">
      <alignment horizontal="center"/>
    </xf>
    <xf numFmtId="0" fontId="57" fillId="0" borderId="0" xfId="0" applyFont="1" applyFill="1" applyAlignment="1">
      <alignment horizontal="right"/>
    </xf>
    <xf numFmtId="0" fontId="58" fillId="0" borderId="0" xfId="636" applyFont="1" applyAlignment="1"/>
    <xf numFmtId="0" fontId="58" fillId="0" borderId="0" xfId="0" applyFont="1" applyFill="1" applyBorder="1" applyAlignment="1">
      <alignment horizontal="center"/>
    </xf>
    <xf numFmtId="0" fontId="58" fillId="0" borderId="0" xfId="0" applyFont="1" applyFill="1"/>
    <xf numFmtId="0" fontId="62" fillId="0" borderId="0" xfId="0" applyFont="1" applyFill="1"/>
    <xf numFmtId="0" fontId="58" fillId="0" borderId="0" xfId="636" applyFont="1" applyAlignment="1">
      <alignment wrapText="1"/>
    </xf>
    <xf numFmtId="0" fontId="57" fillId="0" borderId="16" xfId="0" applyFont="1" applyFill="1" applyBorder="1" applyAlignment="1">
      <alignment horizontal="center"/>
    </xf>
    <xf numFmtId="0" fontId="58" fillId="0" borderId="15" xfId="0" applyFont="1" applyFill="1" applyBorder="1"/>
    <xf numFmtId="14" fontId="57" fillId="0" borderId="16" xfId="732" applyNumberFormat="1" applyFont="1" applyFill="1" applyBorder="1" applyAlignment="1">
      <alignment horizontal="center"/>
    </xf>
    <xf numFmtId="14" fontId="57" fillId="0" borderId="15" xfId="732" applyNumberFormat="1" applyFont="1" applyFill="1" applyBorder="1" applyAlignment="1">
      <alignment horizontal="center"/>
    </xf>
    <xf numFmtId="14" fontId="57" fillId="0" borderId="20" xfId="732" applyNumberFormat="1" applyFont="1" applyFill="1" applyBorder="1" applyAlignment="1">
      <alignment horizontal="center"/>
    </xf>
    <xf numFmtId="14" fontId="57" fillId="0" borderId="21" xfId="732" applyNumberFormat="1" applyFont="1" applyFill="1" applyBorder="1" applyAlignment="1">
      <alignment horizontal="center"/>
    </xf>
    <xf numFmtId="0" fontId="58" fillId="0" borderId="15" xfId="0" applyFont="1" applyFill="1" applyBorder="1" applyAlignment="1">
      <alignment horizontal="left" vertical="center" indent="1"/>
    </xf>
    <xf numFmtId="0" fontId="58" fillId="0" borderId="15" xfId="0" applyFont="1" applyFill="1" applyBorder="1" applyAlignment="1">
      <alignment horizontal="left" vertical="center" indent="2"/>
    </xf>
    <xf numFmtId="0" fontId="58" fillId="0" borderId="15" xfId="0" applyFont="1" applyFill="1" applyBorder="1" applyAlignment="1">
      <alignment vertical="center"/>
    </xf>
    <xf numFmtId="0" fontId="58" fillId="0" borderId="15" xfId="0" applyFont="1" applyFill="1" applyBorder="1" applyAlignment="1">
      <alignment horizontal="left" vertical="center"/>
    </xf>
    <xf numFmtId="0" fontId="58" fillId="0" borderId="0" xfId="635" applyFont="1" applyFill="1"/>
    <xf numFmtId="0" fontId="62" fillId="0" borderId="0" xfId="635" applyFont="1"/>
    <xf numFmtId="0" fontId="58" fillId="0" borderId="0" xfId="635" applyFont="1"/>
    <xf numFmtId="0" fontId="58" fillId="0" borderId="0" xfId="637" applyFont="1"/>
    <xf numFmtId="0" fontId="57" fillId="0" borderId="0" xfId="0" applyFont="1" applyAlignment="1">
      <alignment horizontal="center"/>
    </xf>
    <xf numFmtId="0" fontId="58" fillId="0" borderId="0" xfId="635" applyFont="1" applyAlignment="1">
      <alignment horizontal="right"/>
    </xf>
    <xf numFmtId="0" fontId="57" fillId="0" borderId="3" xfId="637" applyFont="1" applyBorder="1" applyAlignment="1">
      <alignment vertical="top"/>
    </xf>
    <xf numFmtId="0" fontId="57" fillId="0" borderId="12" xfId="635" applyFont="1" applyFill="1" applyBorder="1" applyAlignment="1">
      <alignment horizontal="center" vertical="center" wrapText="1"/>
    </xf>
    <xf numFmtId="0" fontId="57" fillId="0" borderId="3" xfId="635" applyFont="1" applyFill="1" applyBorder="1" applyAlignment="1">
      <alignment horizontal="center" vertical="center" wrapText="1"/>
    </xf>
    <xf numFmtId="0" fontId="57" fillId="0" borderId="13" xfId="635" applyFont="1" applyFill="1" applyBorder="1" applyAlignment="1">
      <alignment horizontal="center" vertical="center" wrapText="1"/>
    </xf>
    <xf numFmtId="168" fontId="58" fillId="0" borderId="0" xfId="0" applyNumberFormat="1" applyFont="1"/>
    <xf numFmtId="0" fontId="58" fillId="0" borderId="0" xfId="635" applyFont="1" applyBorder="1"/>
    <xf numFmtId="0" fontId="57" fillId="0" borderId="14" xfId="637" applyFont="1" applyBorder="1" applyAlignment="1">
      <alignment horizontal="left" vertical="center" indent="1"/>
    </xf>
    <xf numFmtId="168" fontId="57" fillId="0" borderId="15" xfId="637" quotePrefix="1" applyNumberFormat="1" applyFont="1" applyFill="1" applyBorder="1" applyAlignment="1" applyProtection="1">
      <alignment horizontal="center" vertical="center"/>
      <protection locked="0"/>
    </xf>
    <xf numFmtId="0" fontId="61" fillId="0" borderId="14" xfId="637" applyFont="1" applyBorder="1" applyAlignment="1">
      <alignment horizontal="left" vertical="center" indent="2"/>
    </xf>
    <xf numFmtId="168" fontId="61" fillId="0" borderId="15" xfId="637" quotePrefix="1" applyNumberFormat="1" applyFont="1" applyFill="1" applyBorder="1" applyAlignment="1" applyProtection="1">
      <alignment horizontal="center" vertical="center"/>
      <protection locked="0"/>
    </xf>
    <xf numFmtId="0" fontId="57" fillId="29" borderId="3" xfId="635" applyFont="1" applyFill="1" applyBorder="1" applyAlignment="1">
      <alignment horizontal="left" vertical="center" indent="1"/>
    </xf>
    <xf numFmtId="168" fontId="57" fillId="29" borderId="3" xfId="637" quotePrefix="1" applyNumberFormat="1" applyFont="1" applyFill="1" applyBorder="1" applyAlignment="1" applyProtection="1">
      <alignment horizontal="center" vertical="center"/>
      <protection locked="0"/>
    </xf>
    <xf numFmtId="14" fontId="57" fillId="28" borderId="3" xfId="732" applyNumberFormat="1" applyFont="1" applyFill="1" applyBorder="1" applyAlignment="1">
      <alignment horizontal="center" vertical="center"/>
    </xf>
    <xf numFmtId="0" fontId="57" fillId="28" borderId="16" xfId="0" applyFont="1" applyFill="1" applyBorder="1" applyAlignment="1">
      <alignment horizontal="center" vertical="center" wrapText="1"/>
    </xf>
    <xf numFmtId="0" fontId="57" fillId="29" borderId="16" xfId="0" applyFont="1" applyFill="1" applyBorder="1" applyAlignment="1">
      <alignment horizontal="center" vertical="center" wrapText="1"/>
    </xf>
    <xf numFmtId="0" fontId="58" fillId="0" borderId="16" xfId="0" applyFont="1" applyBorder="1"/>
    <xf numFmtId="0" fontId="58" fillId="30" borderId="15" xfId="0" applyFont="1" applyFill="1" applyBorder="1" applyAlignment="1">
      <alignment vertical="center"/>
    </xf>
    <xf numFmtId="0" fontId="58" fillId="31" borderId="15" xfId="0" applyFont="1" applyFill="1" applyBorder="1" applyAlignment="1">
      <alignment vertical="center"/>
    </xf>
    <xf numFmtId="3" fontId="58" fillId="0" borderId="15" xfId="0" applyNumberFormat="1" applyFont="1" applyFill="1" applyBorder="1" applyAlignment="1">
      <alignment vertical="center"/>
    </xf>
    <xf numFmtId="0" fontId="62" fillId="0" borderId="15" xfId="0" applyFont="1" applyFill="1" applyBorder="1" applyAlignment="1">
      <alignment vertical="center"/>
    </xf>
    <xf numFmtId="165" fontId="58" fillId="30" borderId="15" xfId="748" applyFont="1" applyFill="1" applyBorder="1" applyAlignment="1">
      <alignment vertical="center"/>
    </xf>
    <xf numFmtId="0" fontId="63" fillId="0" borderId="0" xfId="0" applyFont="1" applyFill="1"/>
    <xf numFmtId="3" fontId="57" fillId="29" borderId="18" xfId="0" applyNumberFormat="1" applyFont="1" applyFill="1" applyBorder="1" applyAlignment="1">
      <alignment horizontal="right" vertical="center" indent="1"/>
    </xf>
    <xf numFmtId="3" fontId="61" fillId="0" borderId="0" xfId="0" applyNumberFormat="1" applyFont="1" applyFill="1" applyBorder="1" applyAlignment="1">
      <alignment horizontal="right" vertical="center" indent="1"/>
    </xf>
    <xf numFmtId="3" fontId="58" fillId="0" borderId="0" xfId="0" applyNumberFormat="1" applyFont="1" applyFill="1" applyBorder="1" applyAlignment="1">
      <alignment horizontal="right" vertical="center" indent="1"/>
    </xf>
    <xf numFmtId="3" fontId="57" fillId="29" borderId="0" xfId="0" applyNumberFormat="1" applyFont="1" applyFill="1" applyBorder="1" applyAlignment="1">
      <alignment horizontal="right" vertical="center" indent="1"/>
    </xf>
    <xf numFmtId="3" fontId="57" fillId="32" borderId="0" xfId="0" applyNumberFormat="1" applyFont="1" applyFill="1" applyBorder="1" applyAlignment="1">
      <alignment horizontal="right" vertical="center" indent="1"/>
    </xf>
    <xf numFmtId="3" fontId="58" fillId="0" borderId="19" xfId="0" applyNumberFormat="1" applyFont="1" applyFill="1" applyBorder="1" applyAlignment="1">
      <alignment horizontal="right" vertical="center" indent="1"/>
    </xf>
    <xf numFmtId="0" fontId="57" fillId="29" borderId="15" xfId="0" applyFont="1" applyFill="1" applyBorder="1" applyAlignment="1">
      <alignment vertical="center"/>
    </xf>
    <xf numFmtId="3" fontId="57" fillId="29" borderId="15" xfId="0" applyNumberFormat="1" applyFont="1" applyFill="1" applyBorder="1" applyAlignment="1">
      <alignment horizontal="right" vertical="center" indent="1"/>
    </xf>
    <xf numFmtId="3" fontId="58" fillId="0" borderId="15" xfId="0" applyNumberFormat="1" applyFont="1" applyFill="1" applyBorder="1" applyAlignment="1">
      <alignment horizontal="right" vertical="center" indent="1"/>
    </xf>
    <xf numFmtId="3" fontId="58" fillId="30" borderId="15" xfId="0" applyNumberFormat="1" applyFont="1" applyFill="1" applyBorder="1" applyAlignment="1">
      <alignment horizontal="right" vertical="center" indent="1"/>
    </xf>
    <xf numFmtId="3" fontId="58" fillId="31" borderId="15" xfId="0" applyNumberFormat="1" applyFont="1" applyFill="1" applyBorder="1" applyAlignment="1">
      <alignment horizontal="right" vertical="center" indent="1"/>
    </xf>
    <xf numFmtId="3" fontId="58" fillId="30" borderId="15" xfId="748" applyNumberFormat="1" applyFont="1" applyFill="1" applyBorder="1" applyAlignment="1">
      <alignment horizontal="right" vertical="center" indent="1"/>
    </xf>
    <xf numFmtId="0" fontId="57" fillId="29" borderId="15" xfId="0" applyFont="1" applyFill="1" applyBorder="1" applyAlignment="1">
      <alignment vertical="center" wrapText="1"/>
    </xf>
    <xf numFmtId="3" fontId="57" fillId="32" borderId="3" xfId="0" applyNumberFormat="1" applyFont="1" applyFill="1" applyBorder="1" applyAlignment="1">
      <alignment vertical="center"/>
    </xf>
    <xf numFmtId="3" fontId="57" fillId="32" borderId="3" xfId="0" applyNumberFormat="1" applyFont="1" applyFill="1" applyBorder="1" applyAlignment="1">
      <alignment horizontal="right" vertical="center" indent="1"/>
    </xf>
    <xf numFmtId="14" fontId="64" fillId="28" borderId="16" xfId="732" applyNumberFormat="1" applyFont="1" applyFill="1" applyBorder="1" applyAlignment="1">
      <alignment horizontal="center" vertical="center"/>
    </xf>
    <xf numFmtId="0" fontId="64" fillId="28" borderId="16" xfId="0" applyFont="1" applyFill="1" applyBorder="1" applyAlignment="1">
      <alignment horizontal="center" vertical="center" wrapText="1"/>
    </xf>
    <xf numFmtId="0" fontId="64" fillId="29" borderId="16" xfId="0" applyFont="1" applyFill="1" applyBorder="1" applyAlignment="1">
      <alignment horizontal="center" vertical="center" wrapText="1"/>
    </xf>
    <xf numFmtId="0" fontId="65" fillId="0" borderId="0" xfId="0" applyFont="1" applyFill="1"/>
    <xf numFmtId="0" fontId="65" fillId="0" borderId="0" xfId="0" applyFont="1"/>
    <xf numFmtId="0" fontId="67" fillId="0" borderId="0" xfId="750" applyFont="1" applyAlignment="1">
      <alignment vertical="center"/>
    </xf>
    <xf numFmtId="0" fontId="68" fillId="0" borderId="0" xfId="750" applyFont="1" applyFill="1" applyAlignment="1">
      <alignment vertical="center"/>
    </xf>
    <xf numFmtId="0" fontId="66" fillId="0" borderId="0" xfId="750" applyFont="1" applyFill="1" applyAlignment="1">
      <alignment horizontal="right" vertical="center"/>
    </xf>
    <xf numFmtId="0" fontId="68" fillId="0" borderId="3" xfId="750" applyFont="1" applyFill="1" applyBorder="1" applyAlignment="1">
      <alignment horizontal="center" vertical="center" wrapText="1"/>
    </xf>
    <xf numFmtId="0" fontId="68" fillId="0" borderId="0" xfId="0" applyFont="1" applyFill="1" applyBorder="1" applyAlignment="1">
      <alignment horizontal="left" vertical="center"/>
    </xf>
    <xf numFmtId="0" fontId="67" fillId="0" borderId="25" xfId="750" applyFont="1" applyBorder="1" applyAlignment="1">
      <alignment vertical="center"/>
    </xf>
    <xf numFmtId="0" fontId="67" fillId="0" borderId="13" xfId="750" applyFont="1" applyBorder="1" applyAlignment="1">
      <alignment vertical="center"/>
    </xf>
    <xf numFmtId="0" fontId="66" fillId="33" borderId="26" xfId="0" applyFont="1" applyFill="1" applyBorder="1" applyAlignment="1">
      <alignment vertical="top"/>
    </xf>
    <xf numFmtId="0" fontId="68" fillId="0" borderId="26" xfId="0" applyFont="1" applyFill="1" applyBorder="1" applyAlignment="1">
      <alignment horizontal="left" vertical="top"/>
    </xf>
    <xf numFmtId="0" fontId="69" fillId="0" borderId="30" xfId="0" applyFont="1" applyFill="1" applyBorder="1" applyAlignment="1">
      <alignment horizontal="left" vertical="top"/>
    </xf>
    <xf numFmtId="0" fontId="71" fillId="0" borderId="0" xfId="751" applyFont="1" applyFill="1" applyBorder="1" applyAlignment="1">
      <alignment vertical="center" wrapText="1"/>
    </xf>
    <xf numFmtId="0" fontId="70" fillId="0" borderId="0" xfId="751" applyFill="1" applyBorder="1"/>
    <xf numFmtId="0" fontId="66" fillId="0" borderId="0" xfId="751" applyFont="1" applyFill="1" applyBorder="1" applyAlignment="1">
      <alignment vertical="top" wrapText="1"/>
    </xf>
    <xf numFmtId="0" fontId="66" fillId="0" borderId="0" xfId="752" applyFont="1" applyFill="1" applyBorder="1" applyAlignment="1">
      <alignment horizontal="right" vertical="center"/>
    </xf>
    <xf numFmtId="0" fontId="70" fillId="0" borderId="0" xfId="751"/>
    <xf numFmtId="0" fontId="66" fillId="33" borderId="3" xfId="751" applyFont="1" applyFill="1" applyBorder="1" applyAlignment="1">
      <alignment horizontal="center" vertical="top" wrapText="1"/>
    </xf>
    <xf numFmtId="0" fontId="70" fillId="0" borderId="0" xfId="751" applyFill="1"/>
    <xf numFmtId="0" fontId="68" fillId="0" borderId="26" xfId="751" applyFont="1" applyFill="1" applyBorder="1" applyAlignment="1">
      <alignment horizontal="left" vertical="top"/>
    </xf>
    <xf numFmtId="0" fontId="68" fillId="0" borderId="0" xfId="752" applyFont="1" applyFill="1" applyBorder="1" applyAlignment="1">
      <alignment horizontal="left" vertical="center"/>
    </xf>
    <xf numFmtId="172" fontId="70" fillId="0" borderId="0" xfId="751" applyNumberFormat="1"/>
    <xf numFmtId="173" fontId="70" fillId="0" borderId="0" xfId="751" applyNumberFormat="1"/>
    <xf numFmtId="0" fontId="58" fillId="0" borderId="0" xfId="448" applyFont="1" applyFill="1" applyAlignment="1" applyProtection="1">
      <alignment horizontal="left" vertical="center" wrapText="1"/>
    </xf>
    <xf numFmtId="0" fontId="57" fillId="0" borderId="0" xfId="0" applyFont="1" applyFill="1" applyAlignment="1">
      <alignment horizontal="right"/>
    </xf>
    <xf numFmtId="0" fontId="57" fillId="0" borderId="0" xfId="0" applyFont="1" applyFill="1" applyAlignment="1"/>
    <xf numFmtId="0" fontId="58" fillId="0" borderId="15" xfId="0" applyFont="1" applyFill="1" applyBorder="1" applyAlignment="1">
      <alignment horizontal="left" vertical="center" wrapText="1" indent="2"/>
    </xf>
    <xf numFmtId="0" fontId="58" fillId="0" borderId="15" xfId="0" applyFont="1" applyFill="1" applyBorder="1" applyAlignment="1">
      <alignment horizontal="left" vertical="center" indent="6"/>
    </xf>
    <xf numFmtId="3" fontId="57" fillId="29" borderId="23" xfId="754" applyNumberFormat="1" applyFont="1" applyFill="1" applyBorder="1" applyAlignment="1">
      <alignment horizontal="right" vertical="center" indent="1"/>
    </xf>
    <xf numFmtId="3" fontId="57" fillId="32" borderId="23" xfId="754" applyNumberFormat="1" applyFont="1" applyFill="1" applyBorder="1" applyAlignment="1">
      <alignment horizontal="right" vertical="center" indent="1"/>
    </xf>
    <xf numFmtId="3" fontId="57" fillId="29" borderId="0" xfId="754" applyNumberFormat="1" applyFont="1" applyFill="1" applyBorder="1" applyAlignment="1">
      <alignment horizontal="right" vertical="center" indent="1"/>
    </xf>
    <xf numFmtId="3" fontId="57" fillId="32" borderId="0" xfId="754" applyNumberFormat="1" applyFont="1" applyFill="1" applyBorder="1" applyAlignment="1">
      <alignment horizontal="right" vertical="center" indent="1"/>
    </xf>
    <xf numFmtId="3" fontId="61" fillId="0" borderId="23" xfId="0" applyNumberFormat="1" applyFont="1" applyFill="1" applyBorder="1" applyAlignment="1">
      <alignment horizontal="right" vertical="center" indent="1"/>
    </xf>
    <xf numFmtId="3" fontId="58" fillId="0" borderId="23" xfId="0" applyNumberFormat="1" applyFont="1" applyFill="1" applyBorder="1" applyAlignment="1">
      <alignment horizontal="right" vertical="center" indent="1"/>
    </xf>
    <xf numFmtId="3" fontId="58" fillId="0" borderId="21" xfId="0" applyNumberFormat="1" applyFont="1" applyFill="1" applyBorder="1" applyAlignment="1">
      <alignment horizontal="right" vertical="center" indent="1"/>
    </xf>
    <xf numFmtId="0" fontId="61" fillId="0" borderId="0" xfId="0" applyFont="1"/>
    <xf numFmtId="0" fontId="58" fillId="0" borderId="0" xfId="0" applyFont="1" applyAlignment="1">
      <alignment horizontal="justify" vertical="top" wrapText="1"/>
    </xf>
    <xf numFmtId="0" fontId="57" fillId="29" borderId="15" xfId="0" applyFont="1" applyFill="1" applyBorder="1" applyAlignment="1">
      <alignment horizontal="left" vertical="center"/>
    </xf>
    <xf numFmtId="0" fontId="57" fillId="29" borderId="15" xfId="0" applyFont="1" applyFill="1" applyBorder="1" applyAlignment="1">
      <alignment horizontal="left"/>
    </xf>
    <xf numFmtId="0" fontId="57" fillId="32" borderId="15" xfId="0" applyFont="1" applyFill="1" applyBorder="1" applyAlignment="1">
      <alignment horizontal="left" vertical="center" wrapText="1"/>
    </xf>
    <xf numFmtId="0" fontId="58" fillId="0" borderId="17" xfId="0" applyFont="1" applyFill="1" applyBorder="1" applyAlignment="1">
      <alignment horizontal="left" vertical="center" wrapText="1" indent="1"/>
    </xf>
    <xf numFmtId="0" fontId="58" fillId="0" borderId="0" xfId="0" applyFont="1" applyAlignment="1">
      <alignment vertical="center"/>
    </xf>
    <xf numFmtId="0" fontId="68" fillId="0" borderId="26" xfId="0" applyFont="1" applyFill="1" applyBorder="1" applyAlignment="1">
      <alignment horizontal="left" vertical="top" wrapText="1"/>
    </xf>
    <xf numFmtId="0" fontId="66" fillId="33" borderId="26" xfId="0" applyFont="1" applyFill="1" applyBorder="1" applyAlignment="1">
      <alignment vertical="center"/>
    </xf>
    <xf numFmtId="171" fontId="57" fillId="29" borderId="27" xfId="0" applyNumberFormat="1" applyFont="1" applyFill="1" applyBorder="1" applyAlignment="1">
      <alignment horizontal="right" vertical="center"/>
    </xf>
    <xf numFmtId="171" fontId="57" fillId="33" borderId="28" xfId="0" applyNumberFormat="1" applyFont="1" applyFill="1" applyBorder="1" applyAlignment="1">
      <alignment horizontal="right" vertical="center"/>
    </xf>
    <xf numFmtId="171" fontId="57" fillId="29" borderId="28" xfId="0" applyNumberFormat="1" applyFont="1" applyFill="1" applyBorder="1" applyAlignment="1">
      <alignment horizontal="right" vertical="center"/>
    </xf>
    <xf numFmtId="171" fontId="66" fillId="29" borderId="28" xfId="0" applyNumberFormat="1" applyFont="1" applyFill="1" applyBorder="1" applyAlignment="1">
      <alignment horizontal="right" vertical="center"/>
    </xf>
    <xf numFmtId="171" fontId="66" fillId="0" borderId="28" xfId="0" applyNumberFormat="1" applyFont="1" applyFill="1" applyBorder="1" applyAlignment="1">
      <alignment horizontal="right" vertical="center"/>
    </xf>
    <xf numFmtId="171" fontId="66" fillId="0" borderId="29" xfId="0" applyNumberFormat="1" applyFont="1" applyFill="1" applyBorder="1" applyAlignment="1">
      <alignment horizontal="right" vertical="center"/>
    </xf>
    <xf numFmtId="0" fontId="68" fillId="0" borderId="26" xfId="0" applyFont="1" applyFill="1" applyBorder="1" applyAlignment="1">
      <alignment horizontal="left" vertical="center"/>
    </xf>
    <xf numFmtId="171" fontId="58" fillId="29" borderId="27" xfId="0" applyNumberFormat="1" applyFont="1" applyFill="1" applyBorder="1" applyAlignment="1">
      <alignment horizontal="right" vertical="center"/>
    </xf>
    <xf numFmtId="171" fontId="58" fillId="0" borderId="28" xfId="0" applyNumberFormat="1" applyFont="1" applyFill="1" applyBorder="1" applyAlignment="1">
      <alignment horizontal="right" vertical="center"/>
    </xf>
    <xf numFmtId="171" fontId="58" fillId="29" borderId="28" xfId="0" applyNumberFormat="1" applyFont="1" applyFill="1" applyBorder="1" applyAlignment="1">
      <alignment horizontal="right" vertical="center"/>
    </xf>
    <xf numFmtId="171" fontId="68" fillId="29" borderId="28" xfId="0" applyNumberFormat="1" applyFont="1" applyFill="1" applyBorder="1" applyAlignment="1">
      <alignment horizontal="right" vertical="center"/>
    </xf>
    <xf numFmtId="171" fontId="68" fillId="0" borderId="28" xfId="0" applyNumberFormat="1" applyFont="1" applyFill="1" applyBorder="1" applyAlignment="1">
      <alignment horizontal="right" vertical="center"/>
    </xf>
    <xf numFmtId="171" fontId="68" fillId="0" borderId="29" xfId="0" applyNumberFormat="1" applyFont="1" applyFill="1" applyBorder="1" applyAlignment="1">
      <alignment horizontal="right" vertical="center"/>
    </xf>
    <xf numFmtId="0" fontId="68" fillId="0" borderId="26" xfId="0" applyFont="1" applyFill="1" applyBorder="1" applyAlignment="1">
      <alignment horizontal="left" vertical="center" wrapText="1"/>
    </xf>
    <xf numFmtId="171" fontId="68" fillId="29" borderId="27" xfId="0" applyNumberFormat="1" applyFont="1" applyFill="1" applyBorder="1" applyAlignment="1">
      <alignment horizontal="right" vertical="center"/>
    </xf>
    <xf numFmtId="0" fontId="69" fillId="0" borderId="30" xfId="0" applyFont="1" applyFill="1" applyBorder="1" applyAlignment="1">
      <alignment horizontal="left" vertical="center"/>
    </xf>
    <xf numFmtId="171" fontId="69" fillId="29" borderId="31" xfId="0" applyNumberFormat="1" applyFont="1" applyFill="1" applyBorder="1" applyAlignment="1">
      <alignment horizontal="right" vertical="center"/>
    </xf>
    <xf numFmtId="171" fontId="69" fillId="0" borderId="32" xfId="0" applyNumberFormat="1" applyFont="1" applyFill="1" applyBorder="1" applyAlignment="1">
      <alignment horizontal="right" vertical="center"/>
    </xf>
    <xf numFmtId="171" fontId="69" fillId="29" borderId="32" xfId="0" applyNumberFormat="1" applyFont="1" applyFill="1" applyBorder="1" applyAlignment="1">
      <alignment horizontal="right" vertical="center"/>
    </xf>
    <xf numFmtId="171" fontId="69" fillId="0" borderId="33" xfId="0" applyNumberFormat="1" applyFont="1" applyFill="1" applyBorder="1" applyAlignment="1">
      <alignment horizontal="right" vertical="center"/>
    </xf>
    <xf numFmtId="171" fontId="66" fillId="29" borderId="34" xfId="751" applyNumberFormat="1" applyFont="1" applyFill="1" applyBorder="1" applyAlignment="1">
      <alignment horizontal="right" vertical="center"/>
    </xf>
    <xf numFmtId="171" fontId="66" fillId="33" borderId="35" xfId="751" applyNumberFormat="1" applyFont="1" applyFill="1" applyBorder="1" applyAlignment="1">
      <alignment horizontal="right" vertical="center"/>
    </xf>
    <xf numFmtId="171" fontId="66" fillId="29" borderId="35" xfId="751" applyNumberFormat="1" applyFont="1" applyFill="1" applyBorder="1" applyAlignment="1">
      <alignment horizontal="right" vertical="center"/>
    </xf>
    <xf numFmtId="171" fontId="66" fillId="33" borderId="36" xfId="751" applyNumberFormat="1" applyFont="1" applyFill="1" applyBorder="1" applyAlignment="1">
      <alignment horizontal="right" vertical="center"/>
    </xf>
    <xf numFmtId="171" fontId="68" fillId="29" borderId="27" xfId="753" applyNumberFormat="1" applyFont="1" applyFill="1" applyBorder="1" applyAlignment="1">
      <alignment horizontal="right" vertical="center"/>
    </xf>
    <xf numFmtId="171" fontId="68" fillId="0" borderId="28" xfId="753" applyNumberFormat="1" applyFont="1" applyFill="1" applyBorder="1" applyAlignment="1">
      <alignment horizontal="right" vertical="center"/>
    </xf>
    <xf numFmtId="171" fontId="68" fillId="29" borderId="28" xfId="753" applyNumberFormat="1" applyFont="1" applyFill="1" applyBorder="1" applyAlignment="1">
      <alignment horizontal="right" vertical="center"/>
    </xf>
    <xf numFmtId="171" fontId="68" fillId="0" borderId="29" xfId="753" applyNumberFormat="1" applyFont="1" applyFill="1" applyBorder="1" applyAlignment="1">
      <alignment horizontal="right" vertical="center"/>
    </xf>
    <xf numFmtId="171" fontId="69" fillId="29" borderId="31" xfId="753" applyNumberFormat="1" applyFont="1" applyFill="1" applyBorder="1" applyAlignment="1">
      <alignment horizontal="right" vertical="center"/>
    </xf>
    <xf numFmtId="171" fontId="69" fillId="0" borderId="32" xfId="753" applyNumberFormat="1" applyFont="1" applyFill="1" applyBorder="1" applyAlignment="1">
      <alignment horizontal="right" vertical="center"/>
    </xf>
    <xf numFmtId="171" fontId="69" fillId="29" borderId="32" xfId="753" applyNumberFormat="1" applyFont="1" applyFill="1" applyBorder="1" applyAlignment="1">
      <alignment horizontal="right" vertical="center"/>
    </xf>
    <xf numFmtId="171" fontId="69" fillId="0" borderId="33" xfId="753" applyNumberFormat="1" applyFont="1" applyFill="1" applyBorder="1" applyAlignment="1">
      <alignment horizontal="right" vertical="center"/>
    </xf>
    <xf numFmtId="0" fontId="58" fillId="0" borderId="0" xfId="636" applyFont="1" applyAlignment="1">
      <alignment vertical="center" wrapText="1"/>
    </xf>
    <xf numFmtId="14" fontId="57" fillId="0" borderId="17" xfId="732" applyNumberFormat="1" applyFont="1" applyFill="1" applyBorder="1" applyAlignment="1">
      <alignment horizontal="center"/>
    </xf>
    <xf numFmtId="0" fontId="57" fillId="0" borderId="0" xfId="0" applyFont="1" applyAlignment="1">
      <alignment horizontal="center"/>
    </xf>
    <xf numFmtId="0" fontId="58" fillId="0" borderId="0" xfId="636" applyFont="1" applyAlignment="1">
      <alignment horizontal="left" wrapText="1"/>
    </xf>
    <xf numFmtId="0" fontId="58" fillId="0" borderId="0" xfId="636" applyFont="1" applyAlignment="1">
      <alignment horizontal="left" vertical="center" wrapText="1"/>
    </xf>
    <xf numFmtId="0" fontId="57" fillId="0" borderId="0" xfId="0" applyFont="1" applyFill="1" applyAlignment="1">
      <alignment horizontal="center" wrapText="1"/>
    </xf>
    <xf numFmtId="0" fontId="58" fillId="0" borderId="0" xfId="635" applyFont="1" applyAlignment="1">
      <alignment horizontal="left" vertical="center" wrapText="1"/>
    </xf>
    <xf numFmtId="0" fontId="72" fillId="0" borderId="0" xfId="750" applyFont="1" applyFill="1" applyAlignment="1">
      <alignment horizontal="center" vertical="center"/>
    </xf>
    <xf numFmtId="0" fontId="66" fillId="0" borderId="0" xfId="750" applyFont="1" applyFill="1" applyAlignment="1">
      <alignment horizontal="center" vertical="center"/>
    </xf>
    <xf numFmtId="0" fontId="57" fillId="0" borderId="16" xfId="750" applyFont="1" applyFill="1" applyBorder="1" applyAlignment="1">
      <alignment horizontal="center" vertical="center" wrapText="1"/>
    </xf>
    <xf numFmtId="0" fontId="57" fillId="0" borderId="15" xfId="750" applyFont="1" applyFill="1" applyBorder="1" applyAlignment="1">
      <alignment horizontal="center" vertical="center" wrapText="1"/>
    </xf>
    <xf numFmtId="0" fontId="57" fillId="0" borderId="17" xfId="750" applyFont="1" applyFill="1" applyBorder="1" applyAlignment="1">
      <alignment horizontal="center" vertical="center" wrapText="1"/>
    </xf>
    <xf numFmtId="0" fontId="66" fillId="0" borderId="22" xfId="750" applyFont="1" applyFill="1" applyBorder="1" applyAlignment="1">
      <alignment horizontal="center" vertical="center" wrapText="1"/>
    </xf>
    <xf numFmtId="0" fontId="66" fillId="0" borderId="18" xfId="750" applyFont="1" applyFill="1" applyBorder="1" applyAlignment="1">
      <alignment horizontal="center" vertical="center" wrapText="1"/>
    </xf>
    <xf numFmtId="0" fontId="66" fillId="0" borderId="20" xfId="750" applyFont="1" applyFill="1" applyBorder="1" applyAlignment="1">
      <alignment horizontal="center" vertical="center" wrapText="1"/>
    </xf>
    <xf numFmtId="0" fontId="66" fillId="0" borderId="14" xfId="750" applyFont="1" applyFill="1" applyBorder="1" applyAlignment="1">
      <alignment horizontal="center" vertical="center" wrapText="1"/>
    </xf>
    <xf numFmtId="0" fontId="66" fillId="0" borderId="0" xfId="750" applyFont="1" applyFill="1" applyBorder="1" applyAlignment="1">
      <alignment horizontal="center" vertical="center" wrapText="1"/>
    </xf>
    <xf numFmtId="0" fontId="66" fillId="0" borderId="23" xfId="750" applyFont="1" applyFill="1" applyBorder="1" applyAlignment="1">
      <alignment horizontal="center" vertical="center" wrapText="1"/>
    </xf>
    <xf numFmtId="0" fontId="66" fillId="0" borderId="24" xfId="750" applyFont="1" applyFill="1" applyBorder="1" applyAlignment="1">
      <alignment horizontal="center" vertical="center" wrapText="1"/>
    </xf>
    <xf numFmtId="0" fontId="66" fillId="0" borderId="19" xfId="750" applyFont="1" applyFill="1" applyBorder="1" applyAlignment="1">
      <alignment horizontal="center" vertical="center" wrapText="1"/>
    </xf>
    <xf numFmtId="0" fontId="66" fillId="0" borderId="21" xfId="750" applyFont="1" applyFill="1" applyBorder="1" applyAlignment="1">
      <alignment horizontal="center" vertical="center" wrapText="1"/>
    </xf>
    <xf numFmtId="0" fontId="72" fillId="0" borderId="3" xfId="750" applyFont="1" applyFill="1" applyBorder="1" applyAlignment="1">
      <alignment horizontal="center" vertical="center" wrapText="1"/>
    </xf>
    <xf numFmtId="0" fontId="67" fillId="0" borderId="3" xfId="750" applyFont="1" applyBorder="1" applyAlignment="1">
      <alignment horizontal="center" vertical="center"/>
    </xf>
    <xf numFmtId="0" fontId="67" fillId="0" borderId="12" xfId="750" applyFont="1" applyBorder="1" applyAlignment="1">
      <alignment horizontal="center" vertical="center"/>
    </xf>
    <xf numFmtId="0" fontId="67" fillId="0" borderId="25" xfId="750" applyFont="1" applyBorder="1" applyAlignment="1">
      <alignment horizontal="center" vertical="center"/>
    </xf>
    <xf numFmtId="0" fontId="66" fillId="0" borderId="0" xfId="751" applyFont="1" applyFill="1" applyBorder="1" applyAlignment="1">
      <alignment horizontal="center" vertical="top" wrapText="1"/>
    </xf>
    <xf numFmtId="0" fontId="71" fillId="33" borderId="16" xfId="751" applyFont="1" applyFill="1" applyBorder="1" applyAlignment="1">
      <alignment horizontal="center" vertical="center" wrapText="1"/>
    </xf>
    <xf numFmtId="0" fontId="71" fillId="33" borderId="15" xfId="751" applyFont="1" applyFill="1" applyBorder="1" applyAlignment="1">
      <alignment horizontal="center" vertical="center" wrapText="1"/>
    </xf>
    <xf numFmtId="0" fontId="71" fillId="33" borderId="17" xfId="751" applyFont="1" applyFill="1" applyBorder="1" applyAlignment="1">
      <alignment horizontal="center" vertical="center" wrapText="1"/>
    </xf>
    <xf numFmtId="0" fontId="72" fillId="0" borderId="22" xfId="752" applyFont="1" applyFill="1" applyBorder="1" applyAlignment="1">
      <alignment horizontal="center" vertical="center" wrapText="1"/>
    </xf>
    <xf numFmtId="0" fontId="72" fillId="0" borderId="18" xfId="752" applyFont="1" applyFill="1" applyBorder="1" applyAlignment="1">
      <alignment horizontal="center" vertical="center" wrapText="1"/>
    </xf>
    <xf numFmtId="0" fontId="72" fillId="0" borderId="20" xfId="752" applyFont="1" applyFill="1" applyBorder="1" applyAlignment="1">
      <alignment horizontal="center" vertical="center" wrapText="1"/>
    </xf>
    <xf numFmtId="0" fontId="72" fillId="0" borderId="24" xfId="752" applyFont="1" applyFill="1" applyBorder="1" applyAlignment="1">
      <alignment horizontal="center" vertical="center" wrapText="1"/>
    </xf>
    <xf numFmtId="0" fontId="72" fillId="0" borderId="19" xfId="752" applyFont="1" applyFill="1" applyBorder="1" applyAlignment="1">
      <alignment horizontal="center" vertical="center" wrapText="1"/>
    </xf>
    <xf numFmtId="0" fontId="72" fillId="0" borderId="21" xfId="752" applyFont="1" applyFill="1" applyBorder="1" applyAlignment="1">
      <alignment horizontal="center" vertical="center" wrapText="1"/>
    </xf>
    <xf numFmtId="0" fontId="66" fillId="33" borderId="3" xfId="751" applyFont="1" applyFill="1" applyBorder="1" applyAlignment="1">
      <alignment horizontal="center" vertical="top" wrapText="1"/>
    </xf>
  </cellXfs>
  <cellStyles count="755">
    <cellStyle name="20% - Accent1" xfId="1"/>
    <cellStyle name="20% - Accent2" xfId="2"/>
    <cellStyle name="20% - Accent3" xfId="3"/>
    <cellStyle name="20% - Accent4" xfId="4"/>
    <cellStyle name="20% - Accent5" xfId="5"/>
    <cellStyle name="20% - Accent6" xfId="6"/>
    <cellStyle name="20% - Акцент1 10" xfId="7"/>
    <cellStyle name="20% - Акцент1 11" xfId="8"/>
    <cellStyle name="20% - Акцент1 12" xfId="9"/>
    <cellStyle name="20% - Акцент1 13" xfId="10"/>
    <cellStyle name="20% - Акцент1 2" xfId="11"/>
    <cellStyle name="20% - Акцент1 2 2" xfId="12"/>
    <cellStyle name="20% - Акцент1 2 3" xfId="13"/>
    <cellStyle name="20% - Акцент1 2_Borg_01_11_2012" xfId="14"/>
    <cellStyle name="20% - Акцент1 3" xfId="15"/>
    <cellStyle name="20% - Акцент1 4" xfId="16"/>
    <cellStyle name="20% - Акцент1 5" xfId="17"/>
    <cellStyle name="20% - Акцент1 6" xfId="18"/>
    <cellStyle name="20% - Акцент1 7" xfId="19"/>
    <cellStyle name="20% - Акцент1 8" xfId="20"/>
    <cellStyle name="20% - Акцент1 9" xfId="21"/>
    <cellStyle name="20% - Акцент2 10" xfId="22"/>
    <cellStyle name="20% - Акцент2 11" xfId="23"/>
    <cellStyle name="20% - Акцент2 12" xfId="24"/>
    <cellStyle name="20% - Акцент2 13" xfId="25"/>
    <cellStyle name="20% - Акцент2 2" xfId="26"/>
    <cellStyle name="20% - Акцент2 2 2" xfId="27"/>
    <cellStyle name="20% - Акцент2 2 3" xfId="28"/>
    <cellStyle name="20% - Акцент2 2_Borg_01_11_2012" xfId="29"/>
    <cellStyle name="20% - Акцент2 3" xfId="30"/>
    <cellStyle name="20% - Акцент2 4" xfId="31"/>
    <cellStyle name="20% - Акцент2 5" xfId="32"/>
    <cellStyle name="20% - Акцент2 6" xfId="33"/>
    <cellStyle name="20% - Акцент2 7" xfId="34"/>
    <cellStyle name="20% - Акцент2 8" xfId="35"/>
    <cellStyle name="20% - Акцент2 9" xfId="36"/>
    <cellStyle name="20% - Акцент3 10" xfId="37"/>
    <cellStyle name="20% - Акцент3 11" xfId="38"/>
    <cellStyle name="20% - Акцент3 12" xfId="39"/>
    <cellStyle name="20% - Акцент3 13" xfId="40"/>
    <cellStyle name="20% - Акцент3 2" xfId="41"/>
    <cellStyle name="20% - Акцент3 2 2" xfId="42"/>
    <cellStyle name="20% - Акцент3 2 3" xfId="43"/>
    <cellStyle name="20% - Акцент3 2_Borg_01_11_2012" xfId="44"/>
    <cellStyle name="20% - Акцент3 3" xfId="45"/>
    <cellStyle name="20% - Акцент3 4" xfId="46"/>
    <cellStyle name="20% - Акцент3 5" xfId="47"/>
    <cellStyle name="20% - Акцент3 6" xfId="48"/>
    <cellStyle name="20% - Акцент3 7" xfId="49"/>
    <cellStyle name="20% - Акцент3 8" xfId="50"/>
    <cellStyle name="20% - Акцент3 9" xfId="51"/>
    <cellStyle name="20% - Акцент4 10" xfId="52"/>
    <cellStyle name="20% - Акцент4 11" xfId="53"/>
    <cellStyle name="20% - Акцент4 12" xfId="54"/>
    <cellStyle name="20% - Акцент4 13" xfId="55"/>
    <cellStyle name="20% - Акцент4 2" xfId="56"/>
    <cellStyle name="20% - Акцент4 2 2" xfId="57"/>
    <cellStyle name="20% - Акцент4 2 3" xfId="58"/>
    <cellStyle name="20% - Акцент4 2_Borg_01_11_2012" xfId="59"/>
    <cellStyle name="20% - Акцент4 3" xfId="60"/>
    <cellStyle name="20% - Акцент4 4" xfId="61"/>
    <cellStyle name="20% - Акцент4 5" xfId="62"/>
    <cellStyle name="20% - Акцент4 6" xfId="63"/>
    <cellStyle name="20% - Акцент4 7" xfId="64"/>
    <cellStyle name="20% - Акцент4 8" xfId="65"/>
    <cellStyle name="20% - Акцент4 9" xfId="66"/>
    <cellStyle name="20% - Акцент5 10" xfId="67"/>
    <cellStyle name="20% - Акцент5 11" xfId="68"/>
    <cellStyle name="20% - Акцент5 12" xfId="69"/>
    <cellStyle name="20% - Акцент5 2" xfId="70"/>
    <cellStyle name="20% - Акцент5 2 2" xfId="71"/>
    <cellStyle name="20% - Акцент5 2 3" xfId="72"/>
    <cellStyle name="20% - Акцент5 2_Borg_01_11_2012" xfId="73"/>
    <cellStyle name="20% - Акцент5 3" xfId="74"/>
    <cellStyle name="20% - Акцент5 4" xfId="75"/>
    <cellStyle name="20% - Акцент5 5" xfId="76"/>
    <cellStyle name="20% - Акцент5 6" xfId="77"/>
    <cellStyle name="20% - Акцент5 7" xfId="78"/>
    <cellStyle name="20% - Акцент5 8" xfId="79"/>
    <cellStyle name="20% - Акцент5 9" xfId="80"/>
    <cellStyle name="20% - Акцент6 10" xfId="81"/>
    <cellStyle name="20% - Акцент6 11" xfId="82"/>
    <cellStyle name="20% - Акцент6 12" xfId="83"/>
    <cellStyle name="20% - Акцент6 2" xfId="84"/>
    <cellStyle name="20% - Акцент6 2 2" xfId="85"/>
    <cellStyle name="20% - Акцент6 2 3" xfId="86"/>
    <cellStyle name="20% - Акцент6 2_Borg_01_11_2012" xfId="87"/>
    <cellStyle name="20% - Акцент6 3" xfId="88"/>
    <cellStyle name="20% - Акцент6 4" xfId="89"/>
    <cellStyle name="20% - Акцент6 5" xfId="90"/>
    <cellStyle name="20% - Акцент6 6" xfId="91"/>
    <cellStyle name="20% - Акцент6 7" xfId="92"/>
    <cellStyle name="20% - Акцент6 8" xfId="93"/>
    <cellStyle name="20% - Акцент6 9" xfId="94"/>
    <cellStyle name="40% - Accent1" xfId="95"/>
    <cellStyle name="40% - Accent2" xfId="96"/>
    <cellStyle name="40% - Accent3" xfId="97"/>
    <cellStyle name="40% - Accent4" xfId="98"/>
    <cellStyle name="40% - Accent5" xfId="99"/>
    <cellStyle name="40% - Accent6" xfId="100"/>
    <cellStyle name="40% - Акцент1 10" xfId="101"/>
    <cellStyle name="40% - Акцент1 11" xfId="102"/>
    <cellStyle name="40% - Акцент1 12" xfId="103"/>
    <cellStyle name="40% - Акцент1 13" xfId="104"/>
    <cellStyle name="40% - Акцент1 2" xfId="105"/>
    <cellStyle name="40% - Акцент1 2 2" xfId="106"/>
    <cellStyle name="40% - Акцент1 2 3" xfId="107"/>
    <cellStyle name="40% - Акцент1 2_Borg_01_11_2012" xfId="108"/>
    <cellStyle name="40% - Акцент1 3" xfId="109"/>
    <cellStyle name="40% - Акцент1 4" xfId="110"/>
    <cellStyle name="40% - Акцент1 5" xfId="111"/>
    <cellStyle name="40% - Акцент1 6" xfId="112"/>
    <cellStyle name="40% - Акцент1 7" xfId="113"/>
    <cellStyle name="40% - Акцент1 8" xfId="114"/>
    <cellStyle name="40% - Акцент1 9" xfId="115"/>
    <cellStyle name="40% - Акцент2 10" xfId="116"/>
    <cellStyle name="40% - Акцент2 11" xfId="117"/>
    <cellStyle name="40% - Акцент2 12" xfId="118"/>
    <cellStyle name="40% - Акцент2 2" xfId="119"/>
    <cellStyle name="40% - Акцент2 2 2" xfId="120"/>
    <cellStyle name="40% - Акцент2 2 3" xfId="121"/>
    <cellStyle name="40% - Акцент2 2_Borg_01_11_2012" xfId="122"/>
    <cellStyle name="40% - Акцент2 3" xfId="123"/>
    <cellStyle name="40% - Акцент2 4" xfId="124"/>
    <cellStyle name="40% - Акцент2 5" xfId="125"/>
    <cellStyle name="40% - Акцент2 6" xfId="126"/>
    <cellStyle name="40% - Акцент2 7" xfId="127"/>
    <cellStyle name="40% - Акцент2 8" xfId="128"/>
    <cellStyle name="40% - Акцент2 9" xfId="129"/>
    <cellStyle name="40% - Акцент3 10" xfId="130"/>
    <cellStyle name="40% - Акцент3 11" xfId="131"/>
    <cellStyle name="40% - Акцент3 12" xfId="132"/>
    <cellStyle name="40% - Акцент3 13" xfId="133"/>
    <cellStyle name="40% - Акцент3 2" xfId="134"/>
    <cellStyle name="40% - Акцент3 2 2" xfId="135"/>
    <cellStyle name="40% - Акцент3 2 3" xfId="136"/>
    <cellStyle name="40% - Акцент3 2_Borg_01_11_2012" xfId="137"/>
    <cellStyle name="40% - Акцент3 3" xfId="138"/>
    <cellStyle name="40% - Акцент3 4" xfId="139"/>
    <cellStyle name="40% - Акцент3 5" xfId="140"/>
    <cellStyle name="40% - Акцент3 6" xfId="141"/>
    <cellStyle name="40% - Акцент3 7" xfId="142"/>
    <cellStyle name="40% - Акцент3 8" xfId="143"/>
    <cellStyle name="40% - Акцент3 9" xfId="144"/>
    <cellStyle name="40% - Акцент4 10" xfId="145"/>
    <cellStyle name="40% - Акцент4 11" xfId="146"/>
    <cellStyle name="40% - Акцент4 12" xfId="147"/>
    <cellStyle name="40% - Акцент4 13" xfId="148"/>
    <cellStyle name="40% - Акцент4 2" xfId="149"/>
    <cellStyle name="40% - Акцент4 2 2" xfId="150"/>
    <cellStyle name="40% - Акцент4 2 3" xfId="151"/>
    <cellStyle name="40% - Акцент4 2_Borg_01_11_2012" xfId="152"/>
    <cellStyle name="40% - Акцент4 3" xfId="153"/>
    <cellStyle name="40% - Акцент4 4" xfId="154"/>
    <cellStyle name="40% - Акцент4 5" xfId="155"/>
    <cellStyle name="40% - Акцент4 6" xfId="156"/>
    <cellStyle name="40% - Акцент4 7" xfId="157"/>
    <cellStyle name="40% - Акцент4 8" xfId="158"/>
    <cellStyle name="40% - Акцент4 9" xfId="159"/>
    <cellStyle name="40% - Акцент5 10" xfId="160"/>
    <cellStyle name="40% - Акцент5 11" xfId="161"/>
    <cellStyle name="40% - Акцент5 12" xfId="162"/>
    <cellStyle name="40% - Акцент5 2" xfId="163"/>
    <cellStyle name="40% - Акцент5 2 2" xfId="164"/>
    <cellStyle name="40% - Акцент5 2 3" xfId="165"/>
    <cellStyle name="40% - Акцент5 2_Borg_01_11_2012" xfId="166"/>
    <cellStyle name="40% - Акцент5 3" xfId="167"/>
    <cellStyle name="40% - Акцент5 4" xfId="168"/>
    <cellStyle name="40% - Акцент5 5" xfId="169"/>
    <cellStyle name="40% - Акцент5 6" xfId="170"/>
    <cellStyle name="40% - Акцент5 7" xfId="171"/>
    <cellStyle name="40% - Акцент5 8" xfId="172"/>
    <cellStyle name="40% - Акцент5 9" xfId="173"/>
    <cellStyle name="40% - Акцент6 10" xfId="174"/>
    <cellStyle name="40% - Акцент6 11" xfId="175"/>
    <cellStyle name="40% - Акцент6 12" xfId="176"/>
    <cellStyle name="40% - Акцент6 13" xfId="177"/>
    <cellStyle name="40% - Акцент6 2" xfId="178"/>
    <cellStyle name="40% - Акцент6 2 2" xfId="179"/>
    <cellStyle name="40% - Акцент6 2 3" xfId="180"/>
    <cellStyle name="40% - Акцент6 2_Borg_01_11_2012" xfId="181"/>
    <cellStyle name="40% - Акцент6 3" xfId="182"/>
    <cellStyle name="40% - Акцент6 4" xfId="183"/>
    <cellStyle name="40% - Акцент6 5" xfId="184"/>
    <cellStyle name="40% - Акцент6 6" xfId="185"/>
    <cellStyle name="40% - Акцент6 7" xfId="186"/>
    <cellStyle name="40% - Акцент6 8" xfId="187"/>
    <cellStyle name="40% - Акцент6 9" xfId="188"/>
    <cellStyle name="60% - Accent1" xfId="189"/>
    <cellStyle name="60% - Accent2" xfId="190"/>
    <cellStyle name="60% - Accent3" xfId="191"/>
    <cellStyle name="60% - Accent4" xfId="192"/>
    <cellStyle name="60% - Accent5" xfId="193"/>
    <cellStyle name="60% - Accent6" xfId="194"/>
    <cellStyle name="60% - Акцент1 10" xfId="195"/>
    <cellStyle name="60% - Акцент1 11" xfId="196"/>
    <cellStyle name="60% - Акцент1 12" xfId="197"/>
    <cellStyle name="60% - Акцент1 13" xfId="198"/>
    <cellStyle name="60% - Акцент1 2" xfId="199"/>
    <cellStyle name="60% - Акцент1 2 2" xfId="200"/>
    <cellStyle name="60% - Акцент1 2 3" xfId="201"/>
    <cellStyle name="60% - Акцент1 3" xfId="202"/>
    <cellStyle name="60% - Акцент1 4" xfId="203"/>
    <cellStyle name="60% - Акцент1 5" xfId="204"/>
    <cellStyle name="60% - Акцент1 6" xfId="205"/>
    <cellStyle name="60% - Акцент1 7" xfId="206"/>
    <cellStyle name="60% - Акцент1 8" xfId="207"/>
    <cellStyle name="60% - Акцент1 9" xfId="208"/>
    <cellStyle name="60% - Акцент2 10" xfId="209"/>
    <cellStyle name="60% - Акцент2 11" xfId="210"/>
    <cellStyle name="60% - Акцент2 12" xfId="211"/>
    <cellStyle name="60% - Акцент2 2" xfId="212"/>
    <cellStyle name="60% - Акцент2 2 2" xfId="213"/>
    <cellStyle name="60% - Акцент2 2 3" xfId="214"/>
    <cellStyle name="60% - Акцент2 3" xfId="215"/>
    <cellStyle name="60% - Акцент2 4" xfId="216"/>
    <cellStyle name="60% - Акцент2 5" xfId="217"/>
    <cellStyle name="60% - Акцент2 6" xfId="218"/>
    <cellStyle name="60% - Акцент2 7" xfId="219"/>
    <cellStyle name="60% - Акцент2 8" xfId="220"/>
    <cellStyle name="60% - Акцент2 9" xfId="221"/>
    <cellStyle name="60% - Акцент3 10" xfId="222"/>
    <cellStyle name="60% - Акцент3 11" xfId="223"/>
    <cellStyle name="60% - Акцент3 12" xfId="224"/>
    <cellStyle name="60% - Акцент3 13" xfId="225"/>
    <cellStyle name="60% - Акцент3 2" xfId="226"/>
    <cellStyle name="60% - Акцент3 2 2" xfId="227"/>
    <cellStyle name="60% - Акцент3 2 3" xfId="228"/>
    <cellStyle name="60% - Акцент3 3" xfId="229"/>
    <cellStyle name="60% - Акцент3 4" xfId="230"/>
    <cellStyle name="60% - Акцент3 5" xfId="231"/>
    <cellStyle name="60% - Акцент3 6" xfId="232"/>
    <cellStyle name="60% - Акцент3 7" xfId="233"/>
    <cellStyle name="60% - Акцент3 8" xfId="234"/>
    <cellStyle name="60% - Акцент3 9" xfId="235"/>
    <cellStyle name="60% - Акцент4 10" xfId="236"/>
    <cellStyle name="60% - Акцент4 11" xfId="237"/>
    <cellStyle name="60% - Акцент4 12" xfId="238"/>
    <cellStyle name="60% - Акцент4 13" xfId="239"/>
    <cellStyle name="60% - Акцент4 2" xfId="240"/>
    <cellStyle name="60% - Акцент4 2 2" xfId="241"/>
    <cellStyle name="60% - Акцент4 2 3" xfId="242"/>
    <cellStyle name="60% - Акцент4 3" xfId="243"/>
    <cellStyle name="60% - Акцент4 4" xfId="244"/>
    <cellStyle name="60% - Акцент4 5" xfId="245"/>
    <cellStyle name="60% - Акцент4 6" xfId="246"/>
    <cellStyle name="60% - Акцент4 7" xfId="247"/>
    <cellStyle name="60% - Акцент4 8" xfId="248"/>
    <cellStyle name="60% - Акцент4 9" xfId="249"/>
    <cellStyle name="60% - Акцент5 10" xfId="250"/>
    <cellStyle name="60% - Акцент5 11" xfId="251"/>
    <cellStyle name="60% - Акцент5 12" xfId="252"/>
    <cellStyle name="60% - Акцент5 2" xfId="253"/>
    <cellStyle name="60% - Акцент5 2 2" xfId="254"/>
    <cellStyle name="60% - Акцент5 2 3" xfId="255"/>
    <cellStyle name="60% - Акцент5 3" xfId="256"/>
    <cellStyle name="60% - Акцент5 4" xfId="257"/>
    <cellStyle name="60% - Акцент5 5" xfId="258"/>
    <cellStyle name="60% - Акцент5 6" xfId="259"/>
    <cellStyle name="60% - Акцент5 7" xfId="260"/>
    <cellStyle name="60% - Акцент5 8" xfId="261"/>
    <cellStyle name="60% - Акцент5 9" xfId="262"/>
    <cellStyle name="60% - Акцент6 10" xfId="263"/>
    <cellStyle name="60% - Акцент6 11" xfId="264"/>
    <cellStyle name="60% - Акцент6 12" xfId="265"/>
    <cellStyle name="60% - Акцент6 13" xfId="266"/>
    <cellStyle name="60% - Акцент6 2" xfId="267"/>
    <cellStyle name="60% - Акцент6 2 2" xfId="268"/>
    <cellStyle name="60% - Акцент6 2 3" xfId="269"/>
    <cellStyle name="60% - Акцент6 3" xfId="270"/>
    <cellStyle name="60% - Акцент6 4" xfId="271"/>
    <cellStyle name="60% - Акцент6 5" xfId="272"/>
    <cellStyle name="60% - Акцент6 6" xfId="273"/>
    <cellStyle name="60% - Акцент6 7" xfId="274"/>
    <cellStyle name="60% - Акцент6 8" xfId="275"/>
    <cellStyle name="60% - Акцент6 9" xfId="276"/>
    <cellStyle name="Accent1" xfId="277"/>
    <cellStyle name="Accent2" xfId="278"/>
    <cellStyle name="Accent3" xfId="279"/>
    <cellStyle name="Accent4" xfId="280"/>
    <cellStyle name="Accent5" xfId="281"/>
    <cellStyle name="Accent6" xfId="282"/>
    <cellStyle name="Aeia?nnueea" xfId="283"/>
    <cellStyle name="Ãèïåðññûëêà" xfId="284"/>
    <cellStyle name="Bad" xfId="285"/>
    <cellStyle name="Calculation" xfId="286"/>
    <cellStyle name="Check Cell" xfId="287"/>
    <cellStyle name="clsAltData" xfId="288"/>
    <cellStyle name="clsColumnHeader" xfId="289"/>
    <cellStyle name="clsData" xfId="290"/>
    <cellStyle name="clsDefault" xfId="291"/>
    <cellStyle name="clsReportFooter" xfId="292"/>
    <cellStyle name="clsReportHeader" xfId="293"/>
    <cellStyle name="clsRowHeader" xfId="294"/>
    <cellStyle name="Comma [0]䧟Лист3" xfId="295"/>
    <cellStyle name="Date" xfId="296"/>
    <cellStyle name="Explanatory Text" xfId="297"/>
    <cellStyle name="Fixed" xfId="298"/>
    <cellStyle name="Good" xfId="299"/>
    <cellStyle name="Heading 1" xfId="300"/>
    <cellStyle name="Heading 2" xfId="301"/>
    <cellStyle name="Heading 3" xfId="302"/>
    <cellStyle name="Heading 4" xfId="303"/>
    <cellStyle name="Heading1" xfId="304"/>
    <cellStyle name="Heading2" xfId="305"/>
    <cellStyle name="Iau?iue_Eeno1" xfId="306"/>
    <cellStyle name="Îáû÷íûé_Tranche" xfId="307"/>
    <cellStyle name="Input" xfId="308"/>
    <cellStyle name="Ioe?uaaaoayny aeia?nnueea" xfId="309"/>
    <cellStyle name="Îòêðûâàâøàÿñÿ ãèïåðññûëêà" xfId="310"/>
    <cellStyle name="Linked Cell" xfId="311"/>
    <cellStyle name="Neutral" xfId="312"/>
    <cellStyle name="Normal 2" xfId="313"/>
    <cellStyle name="Normal 2 2" xfId="749"/>
    <cellStyle name="Note" xfId="314"/>
    <cellStyle name="Ôèíàíñîâûé_Tranche" xfId="315"/>
    <cellStyle name="Output" xfId="316"/>
    <cellStyle name="S0" xfId="317"/>
    <cellStyle name="S1" xfId="318"/>
    <cellStyle name="S2" xfId="319"/>
    <cellStyle name="S4" xfId="320"/>
    <cellStyle name="S5" xfId="321"/>
    <cellStyle name="S6" xfId="322"/>
    <cellStyle name="Style 1" xfId="323"/>
    <cellStyle name="Title" xfId="324"/>
    <cellStyle name="Total" xfId="325"/>
    <cellStyle name="Warning Text" xfId="326"/>
    <cellStyle name="Акцент1 10" xfId="327"/>
    <cellStyle name="Акцент1 11" xfId="328"/>
    <cellStyle name="Акцент1 12" xfId="329"/>
    <cellStyle name="Акцент1 13" xfId="330"/>
    <cellStyle name="Акцент1 2" xfId="331"/>
    <cellStyle name="Акцент1 2 2" xfId="332"/>
    <cellStyle name="Акцент1 2 3" xfId="333"/>
    <cellStyle name="Акцент1 3" xfId="334"/>
    <cellStyle name="Акцент1 4" xfId="335"/>
    <cellStyle name="Акцент1 5" xfId="336"/>
    <cellStyle name="Акцент1 6" xfId="337"/>
    <cellStyle name="Акцент1 7" xfId="338"/>
    <cellStyle name="Акцент1 8" xfId="339"/>
    <cellStyle name="Акцент1 9" xfId="340"/>
    <cellStyle name="Акцент2 10" xfId="341"/>
    <cellStyle name="Акцент2 11" xfId="342"/>
    <cellStyle name="Акцент2 12" xfId="343"/>
    <cellStyle name="Акцент2 2" xfId="344"/>
    <cellStyle name="Акцент2 2 2" xfId="345"/>
    <cellStyle name="Акцент2 2 3" xfId="346"/>
    <cellStyle name="Акцент2 3" xfId="347"/>
    <cellStyle name="Акцент2 4" xfId="348"/>
    <cellStyle name="Акцент2 5" xfId="349"/>
    <cellStyle name="Акцент2 6" xfId="350"/>
    <cellStyle name="Акцент2 7" xfId="351"/>
    <cellStyle name="Акцент2 8" xfId="352"/>
    <cellStyle name="Акцент2 9" xfId="353"/>
    <cellStyle name="Акцент3 10" xfId="354"/>
    <cellStyle name="Акцент3 11" xfId="355"/>
    <cellStyle name="Акцент3 12" xfId="356"/>
    <cellStyle name="Акцент3 2" xfId="357"/>
    <cellStyle name="Акцент3 2 2" xfId="358"/>
    <cellStyle name="Акцент3 2 3" xfId="359"/>
    <cellStyle name="Акцент3 3" xfId="360"/>
    <cellStyle name="Акцент3 4" xfId="361"/>
    <cellStyle name="Акцент3 5" xfId="362"/>
    <cellStyle name="Акцент3 6" xfId="363"/>
    <cellStyle name="Акцент3 7" xfId="364"/>
    <cellStyle name="Акцент3 8" xfId="365"/>
    <cellStyle name="Акцент3 9" xfId="366"/>
    <cellStyle name="Акцент4 10" xfId="367"/>
    <cellStyle name="Акцент4 11" xfId="368"/>
    <cellStyle name="Акцент4 12" xfId="369"/>
    <cellStyle name="Акцент4 13" xfId="370"/>
    <cellStyle name="Акцент4 2" xfId="371"/>
    <cellStyle name="Акцент4 2 2" xfId="372"/>
    <cellStyle name="Акцент4 2 3" xfId="373"/>
    <cellStyle name="Акцент4 3" xfId="374"/>
    <cellStyle name="Акцент4 4" xfId="375"/>
    <cellStyle name="Акцент4 5" xfId="376"/>
    <cellStyle name="Акцент4 6" xfId="377"/>
    <cellStyle name="Акцент4 7" xfId="378"/>
    <cellStyle name="Акцент4 8" xfId="379"/>
    <cellStyle name="Акцент4 9" xfId="380"/>
    <cellStyle name="Акцент5 10" xfId="381"/>
    <cellStyle name="Акцент5 11" xfId="382"/>
    <cellStyle name="Акцент5 12" xfId="383"/>
    <cellStyle name="Акцент5 2" xfId="384"/>
    <cellStyle name="Акцент5 2 2" xfId="385"/>
    <cellStyle name="Акцент5 2 3" xfId="386"/>
    <cellStyle name="Акцент5 3" xfId="387"/>
    <cellStyle name="Акцент5 4" xfId="388"/>
    <cellStyle name="Акцент5 5" xfId="389"/>
    <cellStyle name="Акцент5 6" xfId="390"/>
    <cellStyle name="Акцент5 7" xfId="391"/>
    <cellStyle name="Акцент5 8" xfId="392"/>
    <cellStyle name="Акцент5 9" xfId="393"/>
    <cellStyle name="Акцент6 10" xfId="394"/>
    <cellStyle name="Акцент6 11" xfId="395"/>
    <cellStyle name="Акцент6 12" xfId="396"/>
    <cellStyle name="Акцент6 2" xfId="397"/>
    <cellStyle name="Акцент6 2 2" xfId="398"/>
    <cellStyle name="Акцент6 2 3" xfId="399"/>
    <cellStyle name="Акцент6 3" xfId="400"/>
    <cellStyle name="Акцент6 4" xfId="401"/>
    <cellStyle name="Акцент6 5" xfId="402"/>
    <cellStyle name="Акцент6 6" xfId="403"/>
    <cellStyle name="Акцент6 7" xfId="404"/>
    <cellStyle name="Акцент6 8" xfId="405"/>
    <cellStyle name="Акцент6 9" xfId="406"/>
    <cellStyle name="Ввод  10" xfId="407"/>
    <cellStyle name="Ввод  11" xfId="408"/>
    <cellStyle name="Ввод  12" xfId="409"/>
    <cellStyle name="Ввод  2" xfId="410"/>
    <cellStyle name="Ввод  2 2" xfId="411"/>
    <cellStyle name="Ввод  2 3" xfId="412"/>
    <cellStyle name="Ввод  3" xfId="413"/>
    <cellStyle name="Ввод  4" xfId="414"/>
    <cellStyle name="Ввод  5" xfId="415"/>
    <cellStyle name="Ввод  6" xfId="416"/>
    <cellStyle name="Ввод  7" xfId="417"/>
    <cellStyle name="Ввод  8" xfId="418"/>
    <cellStyle name="Ввод  9" xfId="419"/>
    <cellStyle name="Вывод 10" xfId="420"/>
    <cellStyle name="Вывод 11" xfId="421"/>
    <cellStyle name="Вывод 12" xfId="422"/>
    <cellStyle name="Вывод 13" xfId="423"/>
    <cellStyle name="Вывод 2" xfId="424"/>
    <cellStyle name="Вывод 2 2" xfId="425"/>
    <cellStyle name="Вывод 2 3" xfId="426"/>
    <cellStyle name="Вывод 3" xfId="427"/>
    <cellStyle name="Вывод 4" xfId="428"/>
    <cellStyle name="Вывод 5" xfId="429"/>
    <cellStyle name="Вывод 6" xfId="430"/>
    <cellStyle name="Вывод 7" xfId="431"/>
    <cellStyle name="Вывод 8" xfId="432"/>
    <cellStyle name="Вывод 9" xfId="433"/>
    <cellStyle name="Вычисление 10" xfId="434"/>
    <cellStyle name="Вычисление 11" xfId="435"/>
    <cellStyle name="Вычисление 12" xfId="436"/>
    <cellStyle name="Вычисление 13" xfId="437"/>
    <cellStyle name="Вычисление 2" xfId="438"/>
    <cellStyle name="Вычисление 2 2" xfId="439"/>
    <cellStyle name="Вычисление 2 3" xfId="440"/>
    <cellStyle name="Вычисление 3" xfId="441"/>
    <cellStyle name="Вычисление 4" xfId="442"/>
    <cellStyle name="Вычисление 5" xfId="443"/>
    <cellStyle name="Вычисление 6" xfId="444"/>
    <cellStyle name="Вычисление 7" xfId="445"/>
    <cellStyle name="Вычисление 8" xfId="446"/>
    <cellStyle name="Вычисление 9" xfId="447"/>
    <cellStyle name="Гіперпосилання" xfId="448" builtinId="8"/>
    <cellStyle name="Заголовок 1 10" xfId="449"/>
    <cellStyle name="Заголовок 1 11" xfId="450"/>
    <cellStyle name="Заголовок 1 12" xfId="451"/>
    <cellStyle name="Заголовок 1 13" xfId="452"/>
    <cellStyle name="Заголовок 1 2" xfId="453"/>
    <cellStyle name="Заголовок 1 2 2" xfId="454"/>
    <cellStyle name="Заголовок 1 2 3" xfId="455"/>
    <cellStyle name="Заголовок 1 3" xfId="456"/>
    <cellStyle name="Заголовок 1 4" xfId="457"/>
    <cellStyle name="Заголовок 1 5" xfId="458"/>
    <cellStyle name="Заголовок 1 6" xfId="459"/>
    <cellStyle name="Заголовок 1 7" xfId="460"/>
    <cellStyle name="Заголовок 1 8" xfId="461"/>
    <cellStyle name="Заголовок 1 9" xfId="462"/>
    <cellStyle name="Заголовок 2 10" xfId="463"/>
    <cellStyle name="Заголовок 2 11" xfId="464"/>
    <cellStyle name="Заголовок 2 12" xfId="465"/>
    <cellStyle name="Заголовок 2 13" xfId="466"/>
    <cellStyle name="Заголовок 2 2" xfId="467"/>
    <cellStyle name="Заголовок 2 2 2" xfId="468"/>
    <cellStyle name="Заголовок 2 2 3" xfId="469"/>
    <cellStyle name="Заголовок 2 3" xfId="470"/>
    <cellStyle name="Заголовок 2 4" xfId="471"/>
    <cellStyle name="Заголовок 2 5" xfId="472"/>
    <cellStyle name="Заголовок 2 6" xfId="473"/>
    <cellStyle name="Заголовок 2 7" xfId="474"/>
    <cellStyle name="Заголовок 2 8" xfId="475"/>
    <cellStyle name="Заголовок 2 9" xfId="476"/>
    <cellStyle name="Заголовок 3 10" xfId="477"/>
    <cellStyle name="Заголовок 3 11" xfId="478"/>
    <cellStyle name="Заголовок 3 12" xfId="479"/>
    <cellStyle name="Заголовок 3 13" xfId="480"/>
    <cellStyle name="Заголовок 3 2" xfId="481"/>
    <cellStyle name="Заголовок 3 2 2" xfId="482"/>
    <cellStyle name="Заголовок 3 2 3" xfId="483"/>
    <cellStyle name="Заголовок 3 3" xfId="484"/>
    <cellStyle name="Заголовок 3 4" xfId="485"/>
    <cellStyle name="Заголовок 3 5" xfId="486"/>
    <cellStyle name="Заголовок 3 6" xfId="487"/>
    <cellStyle name="Заголовок 3 7" xfId="488"/>
    <cellStyle name="Заголовок 3 8" xfId="489"/>
    <cellStyle name="Заголовок 3 9" xfId="490"/>
    <cellStyle name="Заголовок 4 10" xfId="491"/>
    <cellStyle name="Заголовок 4 11" xfId="492"/>
    <cellStyle name="Заголовок 4 12" xfId="493"/>
    <cellStyle name="Заголовок 4 13" xfId="494"/>
    <cellStyle name="Заголовок 4 2" xfId="495"/>
    <cellStyle name="Заголовок 4 2 2" xfId="496"/>
    <cellStyle name="Заголовок 4 2 3" xfId="497"/>
    <cellStyle name="Заголовок 4 3" xfId="498"/>
    <cellStyle name="Заголовок 4 4" xfId="499"/>
    <cellStyle name="Заголовок 4 5" xfId="500"/>
    <cellStyle name="Заголовок 4 6" xfId="501"/>
    <cellStyle name="Заголовок 4 7" xfId="502"/>
    <cellStyle name="Заголовок 4 8" xfId="503"/>
    <cellStyle name="Заголовок 4 9" xfId="504"/>
    <cellStyle name="Звичайний" xfId="0" builtinId="0"/>
    <cellStyle name="Звичайний 2" xfId="505"/>
    <cellStyle name="Итог 10" xfId="506"/>
    <cellStyle name="Итог 11" xfId="507"/>
    <cellStyle name="Итог 12" xfId="508"/>
    <cellStyle name="Итог 13" xfId="509"/>
    <cellStyle name="Итог 2" xfId="510"/>
    <cellStyle name="Итог 2 2" xfId="511"/>
    <cellStyle name="Итог 2 3" xfId="512"/>
    <cellStyle name="Итог 3" xfId="513"/>
    <cellStyle name="Итог 4" xfId="514"/>
    <cellStyle name="Итог 5" xfId="515"/>
    <cellStyle name="Итог 6" xfId="516"/>
    <cellStyle name="Итог 7" xfId="517"/>
    <cellStyle name="Итог 8" xfId="518"/>
    <cellStyle name="Итог 9" xfId="519"/>
    <cellStyle name="Контрольная ячейка 10" xfId="520"/>
    <cellStyle name="Контрольная ячейка 11" xfId="521"/>
    <cellStyle name="Контрольная ячейка 12" xfId="522"/>
    <cellStyle name="Контрольная ячейка 2" xfId="523"/>
    <cellStyle name="Контрольная ячейка 2 2" xfId="524"/>
    <cellStyle name="Контрольная ячейка 2 3" xfId="525"/>
    <cellStyle name="Контрольная ячейка 3" xfId="526"/>
    <cellStyle name="Контрольная ячейка 4" xfId="527"/>
    <cellStyle name="Контрольная ячейка 5" xfId="528"/>
    <cellStyle name="Контрольная ячейка 6" xfId="529"/>
    <cellStyle name="Контрольная ячейка 7" xfId="530"/>
    <cellStyle name="Контрольная ячейка 8" xfId="531"/>
    <cellStyle name="Контрольная ячейка 9" xfId="532"/>
    <cellStyle name="Название 2" xfId="533"/>
    <cellStyle name="Нейтральный 10" xfId="534"/>
    <cellStyle name="Нейтральный 11" xfId="535"/>
    <cellStyle name="Нейтральный 12" xfId="536"/>
    <cellStyle name="Нейтральный 2" xfId="537"/>
    <cellStyle name="Нейтральный 2 2" xfId="538"/>
    <cellStyle name="Нейтральный 2 3" xfId="539"/>
    <cellStyle name="Нейтральный 3" xfId="540"/>
    <cellStyle name="Нейтральный 4" xfId="541"/>
    <cellStyle name="Нейтральный 5" xfId="542"/>
    <cellStyle name="Нейтральный 6" xfId="543"/>
    <cellStyle name="Нейтральный 7" xfId="544"/>
    <cellStyle name="Нейтральный 8" xfId="545"/>
    <cellStyle name="Нейтральный 9" xfId="546"/>
    <cellStyle name="Обычный 10" xfId="547"/>
    <cellStyle name="Обычный 11" xfId="548"/>
    <cellStyle name="Обычный 12" xfId="549"/>
    <cellStyle name="Обычный 13" xfId="550"/>
    <cellStyle name="Обычный 14" xfId="551"/>
    <cellStyle name="Обычный 15" xfId="552"/>
    <cellStyle name="Обычный 16" xfId="553"/>
    <cellStyle name="Обычный 17" xfId="554"/>
    <cellStyle name="Обычный 18" xfId="555"/>
    <cellStyle name="Обычный 19" xfId="556"/>
    <cellStyle name="Обычный 2" xfId="557"/>
    <cellStyle name="Обычный 2 2" xfId="558"/>
    <cellStyle name="Обычный 2 2 2" xfId="559"/>
    <cellStyle name="Обычный 2 2 2 2" xfId="560"/>
    <cellStyle name="Обычный 2 2 2 3" xfId="561"/>
    <cellStyle name="Обычный 2 2 2 4" xfId="562"/>
    <cellStyle name="Обычный 2 2 2 4 2" xfId="563"/>
    <cellStyle name="Обычный 2 2 2 4_Borg_01_11_2012" xfId="564"/>
    <cellStyle name="Обычный 2 2 2 5" xfId="565"/>
    <cellStyle name="Обычный 2 2 2_Borg_01_11_2012" xfId="566"/>
    <cellStyle name="Обычный 2 2 3" xfId="567"/>
    <cellStyle name="Обычный 2 2 3 2" xfId="568"/>
    <cellStyle name="Обычный 2 2 3 2 2" xfId="569"/>
    <cellStyle name="Обычный 2 2 3 2_Borg_01_11_2012" xfId="570"/>
    <cellStyle name="Обычный 2 2 3 3" xfId="571"/>
    <cellStyle name="Обычный 2 2 3_Borg_01_11_2012" xfId="572"/>
    <cellStyle name="Обычный 2 2 4" xfId="573"/>
    <cellStyle name="Обычный 2 2 5" xfId="574"/>
    <cellStyle name="Обычный 2 2 6" xfId="575"/>
    <cellStyle name="Обычный 2 2 7" xfId="576"/>
    <cellStyle name="Обычный 2 2_ZB_3KV_2014" xfId="577"/>
    <cellStyle name="Обычный 2 3" xfId="578"/>
    <cellStyle name="Обычный 2 4" xfId="579"/>
    <cellStyle name="Обычный 2 5" xfId="580"/>
    <cellStyle name="Обычный 2 5 2" xfId="581"/>
    <cellStyle name="Обычный 2 5_Borg_01_11_2012" xfId="582"/>
    <cellStyle name="Обычный 2 6" xfId="583"/>
    <cellStyle name="Обычный 2 7" xfId="584"/>
    <cellStyle name="Обычный 2_Borg_01_11_2012" xfId="585"/>
    <cellStyle name="Обычный 20" xfId="586"/>
    <cellStyle name="Обычный 21" xfId="587"/>
    <cellStyle name="Обычный 22" xfId="588"/>
    <cellStyle name="Обычный 23" xfId="589"/>
    <cellStyle name="Обычный 24" xfId="590"/>
    <cellStyle name="Обычный 25" xfId="591"/>
    <cellStyle name="Обычный 26" xfId="592"/>
    <cellStyle name="Обычный 27" xfId="593"/>
    <cellStyle name="Обычный 28" xfId="594"/>
    <cellStyle name="Обычный 29" xfId="595"/>
    <cellStyle name="Обычный 3" xfId="596"/>
    <cellStyle name="Обычный 3 2" xfId="597"/>
    <cellStyle name="Обычный 3 2 2" xfId="598"/>
    <cellStyle name="Обычный 3 2_Borg_01_11_2012" xfId="599"/>
    <cellStyle name="Обычный 3_ZB_3KV_2014" xfId="600"/>
    <cellStyle name="Обычный 30" xfId="601"/>
    <cellStyle name="Обычный 31" xfId="602"/>
    <cellStyle name="Обычный 32" xfId="603"/>
    <cellStyle name="Обычный 33" xfId="604"/>
    <cellStyle name="Обычный 34" xfId="605"/>
    <cellStyle name="Обычный 35" xfId="606"/>
    <cellStyle name="Обычный 36" xfId="607"/>
    <cellStyle name="Обычный 37" xfId="608"/>
    <cellStyle name="Обычный 38" xfId="609"/>
    <cellStyle name="Обычный 39" xfId="610"/>
    <cellStyle name="Обычный 4" xfId="611"/>
    <cellStyle name="Обычный 4 2" xfId="612"/>
    <cellStyle name="Обычный 4_ZB_3KV_2014" xfId="613"/>
    <cellStyle name="Обычный 40" xfId="614"/>
    <cellStyle name="Обычный 41" xfId="615"/>
    <cellStyle name="Обычный 42" xfId="616"/>
    <cellStyle name="Обычный 43" xfId="750"/>
    <cellStyle name="Обычный 43 2" xfId="752"/>
    <cellStyle name="Обычный 44" xfId="751"/>
    <cellStyle name="Обычный 45" xfId="617"/>
    <cellStyle name="Обычный 46" xfId="618"/>
    <cellStyle name="Обычный 47" xfId="619"/>
    <cellStyle name="Обычный 48" xfId="620"/>
    <cellStyle name="Обычный 49" xfId="621"/>
    <cellStyle name="Обычный 5" xfId="622"/>
    <cellStyle name="Обычный 5 2" xfId="623"/>
    <cellStyle name="Обычный 50" xfId="624"/>
    <cellStyle name="Обычный 51" xfId="625"/>
    <cellStyle name="Обычный 52" xfId="626"/>
    <cellStyle name="Обычный 53" xfId="627"/>
    <cellStyle name="Обычный 54" xfId="628"/>
    <cellStyle name="Обычный 6" xfId="629"/>
    <cellStyle name="Обычный 6 2" xfId="630"/>
    <cellStyle name="Обычный 6_ZB_3KV_2014" xfId="631"/>
    <cellStyle name="Обычный 7" xfId="632"/>
    <cellStyle name="Обычный 8" xfId="633"/>
    <cellStyle name="Обычный 9" xfId="634"/>
    <cellStyle name="Обычный_вал.стр.зовн.борг" xfId="635"/>
    <cellStyle name="Обычный_Зовн.борг(гр.в тексте)" xfId="636"/>
    <cellStyle name="Обычный_Лист1" xfId="637"/>
    <cellStyle name="Обычный_МІП_4КВ_2012" xfId="754"/>
    <cellStyle name="Плохой 10" xfId="638"/>
    <cellStyle name="Плохой 11" xfId="639"/>
    <cellStyle name="Плохой 12" xfId="640"/>
    <cellStyle name="Плохой 2" xfId="641"/>
    <cellStyle name="Плохой 2 2" xfId="642"/>
    <cellStyle name="Плохой 2 3" xfId="643"/>
    <cellStyle name="Плохой 3" xfId="644"/>
    <cellStyle name="Плохой 4" xfId="645"/>
    <cellStyle name="Плохой 5" xfId="646"/>
    <cellStyle name="Плохой 6" xfId="647"/>
    <cellStyle name="Плохой 7" xfId="648"/>
    <cellStyle name="Плохой 8" xfId="649"/>
    <cellStyle name="Плохой 9" xfId="650"/>
    <cellStyle name="Пояснение 10" xfId="651"/>
    <cellStyle name="Пояснение 11" xfId="652"/>
    <cellStyle name="Пояснение 12" xfId="653"/>
    <cellStyle name="Пояснение 2" xfId="654"/>
    <cellStyle name="Пояснение 2 2" xfId="655"/>
    <cellStyle name="Пояснение 2 3" xfId="656"/>
    <cellStyle name="Пояснение 3" xfId="657"/>
    <cellStyle name="Пояснение 4" xfId="658"/>
    <cellStyle name="Пояснение 5" xfId="659"/>
    <cellStyle name="Пояснение 6" xfId="660"/>
    <cellStyle name="Пояснение 7" xfId="661"/>
    <cellStyle name="Пояснение 8" xfId="662"/>
    <cellStyle name="Пояснение 9" xfId="663"/>
    <cellStyle name="Примечание 10" xfId="664"/>
    <cellStyle name="Примечание 11" xfId="665"/>
    <cellStyle name="Примечание 12" xfId="666"/>
    <cellStyle name="Примечание 13" xfId="667"/>
    <cellStyle name="Примечание 13 2" xfId="668"/>
    <cellStyle name="Примечание 13 2 2" xfId="669"/>
    <cellStyle name="Примечание 13 3" xfId="670"/>
    <cellStyle name="Примечание 14" xfId="671"/>
    <cellStyle name="Примечание 14 2" xfId="672"/>
    <cellStyle name="Примечание 15" xfId="673"/>
    <cellStyle name="Примечание 2" xfId="674"/>
    <cellStyle name="Примечание 2 2" xfId="675"/>
    <cellStyle name="Примечание 2 2 2" xfId="676"/>
    <cellStyle name="Примечание 2 2 2 2" xfId="677"/>
    <cellStyle name="Примечание 2 2 2 2 2" xfId="678"/>
    <cellStyle name="Примечание 2 2 3" xfId="679"/>
    <cellStyle name="Примечание 2 3" xfId="680"/>
    <cellStyle name="Примечание 2 3 2" xfId="681"/>
    <cellStyle name="Примечание 2 3 2 2" xfId="682"/>
    <cellStyle name="Примечание 2 3 3" xfId="683"/>
    <cellStyle name="Примечание 2 4" xfId="684"/>
    <cellStyle name="Примечание 2 4 2" xfId="685"/>
    <cellStyle name="Примечание 3" xfId="686"/>
    <cellStyle name="Примечание 3 2" xfId="687"/>
    <cellStyle name="Примечание 4" xfId="688"/>
    <cellStyle name="Примечание 5" xfId="689"/>
    <cellStyle name="Примечание 6" xfId="690"/>
    <cellStyle name="Примечание 7" xfId="691"/>
    <cellStyle name="Примечание 8" xfId="692"/>
    <cellStyle name="Примечание 9" xfId="693"/>
    <cellStyle name="Процентный 2 2" xfId="694"/>
    <cellStyle name="Процентный 2 3" xfId="695"/>
    <cellStyle name="Процентный 2 4" xfId="696"/>
    <cellStyle name="Процентный 2 5" xfId="697"/>
    <cellStyle name="Процентный 2 6" xfId="698"/>
    <cellStyle name="Процентный 2 7" xfId="699"/>
    <cellStyle name="Процентный 3" xfId="700"/>
    <cellStyle name="РівеньРядків_2 3" xfId="701"/>
    <cellStyle name="РівеньСтовпців_1 2" xfId="702"/>
    <cellStyle name="Связанная ячейка 10" xfId="703"/>
    <cellStyle name="Связанная ячейка 11" xfId="704"/>
    <cellStyle name="Связанная ячейка 12" xfId="705"/>
    <cellStyle name="Связанная ячейка 2" xfId="706"/>
    <cellStyle name="Связанная ячейка 2 2" xfId="707"/>
    <cellStyle name="Связанная ячейка 2 3" xfId="708"/>
    <cellStyle name="Связанная ячейка 3" xfId="709"/>
    <cellStyle name="Связанная ячейка 4" xfId="710"/>
    <cellStyle name="Связанная ячейка 5" xfId="711"/>
    <cellStyle name="Связанная ячейка 6" xfId="712"/>
    <cellStyle name="Связанная ячейка 7" xfId="713"/>
    <cellStyle name="Связанная ячейка 8" xfId="714"/>
    <cellStyle name="Связанная ячейка 9" xfId="715"/>
    <cellStyle name="Стиль 1" xfId="716"/>
    <cellStyle name="Текст предупреждения 10" xfId="717"/>
    <cellStyle name="Текст предупреждения 11" xfId="718"/>
    <cellStyle name="Текст предупреждения 12" xfId="719"/>
    <cellStyle name="Текст предупреждения 2" xfId="720"/>
    <cellStyle name="Текст предупреждения 2 2" xfId="721"/>
    <cellStyle name="Текст предупреждения 2 3" xfId="722"/>
    <cellStyle name="Текст предупреждения 3" xfId="723"/>
    <cellStyle name="Текст предупреждения 4" xfId="724"/>
    <cellStyle name="Текст предупреждения 5" xfId="725"/>
    <cellStyle name="Текст предупреждения 6" xfId="726"/>
    <cellStyle name="Текст предупреждения 7" xfId="727"/>
    <cellStyle name="Текст предупреждения 8" xfId="728"/>
    <cellStyle name="Текст предупреждения 9" xfId="729"/>
    <cellStyle name="УровеньСтолб_1_Template for MoF_01 14 2015 for MoF" xfId="730"/>
    <cellStyle name="УровеньСтрок_1_Template for MoF_01 14 2015 for MoF" xfId="731"/>
    <cellStyle name="Финансовый [0] 2" xfId="733"/>
    <cellStyle name="Финансовый 2" xfId="734"/>
    <cellStyle name="Финансовый 3" xfId="753"/>
    <cellStyle name="Фінансовий" xfId="748" builtinId="3"/>
    <cellStyle name="Фінансовий [0]" xfId="732" builtinId="6"/>
    <cellStyle name="Хороший 10" xfId="735"/>
    <cellStyle name="Хороший 11" xfId="736"/>
    <cellStyle name="Хороший 12" xfId="737"/>
    <cellStyle name="Хороший 2" xfId="738"/>
    <cellStyle name="Хороший 2 2" xfId="739"/>
    <cellStyle name="Хороший 2 3" xfId="740"/>
    <cellStyle name="Хороший 3" xfId="741"/>
    <cellStyle name="Хороший 4" xfId="742"/>
    <cellStyle name="Хороший 5" xfId="743"/>
    <cellStyle name="Хороший 6" xfId="744"/>
    <cellStyle name="Хороший 7" xfId="745"/>
    <cellStyle name="Хороший 8" xfId="746"/>
    <cellStyle name="Хороший 9" xfId="7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ctrlProps/ctrlProp1.xml><?xml version="1.0" encoding="utf-8"?>
<formControlPr xmlns="http://schemas.microsoft.com/office/spreadsheetml/2009/9/main" objectType="List" dx="15"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0</xdr:row>
          <xdr:rowOff>30480</xdr:rowOff>
        </xdr:from>
        <xdr:to>
          <xdr:col>1</xdr:col>
          <xdr:colOff>0</xdr:colOff>
          <xdr:row>2</xdr:row>
          <xdr:rowOff>106680</xdr:rowOff>
        </xdr:to>
        <xdr:sp macro="" textlink="">
          <xdr:nvSpPr>
            <xdr:cNvPr id="1025" name="List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98\TEMP\&#1043;&#1072;&#1083;&#1100;%20-%20&#1090;&#1072;&#1073;&#1083;.%20(17%20&#1096;&#1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CSONG/Local%20Settings/Temporary%20Internet%20Files/OLK3/BOPuk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CSONG\Local%20Settings\Temporary%20Internet%20Files\OLK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ukr200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DOWS.98/TEMP/&#1043;&#1072;&#1083;&#1100;%20-%20&#1090;&#1072;&#1073;&#1083;.%20(17%20&#1096;&#1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
  <sheetViews>
    <sheetView zoomScaleNormal="100" workbookViewId="0">
      <selection activeCell="C15" sqref="C15"/>
    </sheetView>
  </sheetViews>
  <sheetFormatPr defaultColWidth="9.33203125" defaultRowHeight="11.4"/>
  <cols>
    <col min="1" max="1" width="9.33203125" style="3"/>
    <col min="2" max="2" width="9.33203125" style="3" customWidth="1"/>
    <col min="3" max="3" width="103.109375" style="3" customWidth="1"/>
    <col min="4" max="16384" width="9.33203125" style="3"/>
  </cols>
  <sheetData>
    <row r="1" spans="1:49" ht="12">
      <c r="A1" s="1">
        <v>1</v>
      </c>
      <c r="B1" s="1"/>
      <c r="C1" s="2" t="str">
        <f>IF('1'!$A$1=1,"1.  В А Л О В И Й   З О В Н І Ш Н І Й   Б О Р Г   У К Р А Ї Н И   (за методологією МВФ, КПБ 6)","1. Gross External Debt Position of Ukraine     (IMF Methodology, BPM 6)")</f>
        <v>1.  В А Л О В И Й   З О В Н І Ш Н І Й   Б О Р Г   У К Р А Ї Н И   (за методологією МВФ, КПБ 6)</v>
      </c>
    </row>
    <row r="2" spans="1:49" ht="12">
      <c r="A2" s="4"/>
      <c r="B2" s="4"/>
      <c r="C2" s="96" t="str">
        <f>IF('1'!$A$1=1,"1.1  Зовнішній борг України ","1.1 Gross External Debt Position of Ukraine ")</f>
        <v xml:space="preserve">1.1  Зовнішній борг України </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49">
      <c r="A3" s="6" t="s">
        <v>0</v>
      </c>
      <c r="B3" s="6"/>
      <c r="C3" s="96" t="str">
        <f>IF('1'!$A$1=1,"1.2  Валютна структура зовнішнього боргу України за початковим терміном до погашення у розрізі секторів економіки","1.2 Currency breakdown of Gross  External  Debt of Ukraine ")</f>
        <v>1.2  Валютна структура зовнішнього боргу України за початковим терміном до погашення у розрізі секторів економіки</v>
      </c>
    </row>
    <row r="4" spans="1:49">
      <c r="A4" s="7" t="s">
        <v>1</v>
      </c>
      <c r="B4" s="7"/>
      <c r="C4" s="96" t="str">
        <f>IF('1'!$A$1=1,"1.3  Валовий зовнішній борг України: чиста позиція за секторами","1.3 Net External Debt Position of Ukraine: By Sector ")</f>
        <v>1.3  Валовий зовнішній борг України: чиста позиція за секторами</v>
      </c>
    </row>
    <row r="5" spans="1:49">
      <c r="A5" s="8"/>
      <c r="B5" s="8"/>
      <c r="C5" s="96" t="str">
        <f>IF('1'!$A$1=1,"1.4 Географічна структура зовнішньої заборгованості за кредитами приватного сектору","1.4 Geographic structure of External Debt for private sector loans")</f>
        <v>1.4 Географічна структура зовнішньої заборгованості за кредитами приватного сектору</v>
      </c>
    </row>
    <row r="6" spans="1:49">
      <c r="A6" s="8"/>
      <c r="B6" s="8"/>
      <c r="C6" s="96" t="str">
        <f>IF('1'!$A$1=1,"1.5 Географічна структура зовнішної простроченої заборгованості за кредитами реального сектору","1.5 Geographic structure of arrears of External Debt for real sector loans")</f>
        <v>1.5 Географічна структура зовнішної простроченої заборгованості за кредитами реального сектору</v>
      </c>
    </row>
    <row r="9" spans="1:49">
      <c r="C9" s="108" t="s">
        <v>29</v>
      </c>
    </row>
    <row r="11" spans="1:49" ht="156" customHeight="1">
      <c r="C11" s="109" t="s">
        <v>30</v>
      </c>
    </row>
  </sheetData>
  <phoneticPr fontId="0" type="noConversion"/>
  <hyperlinks>
    <hyperlink ref="C2" location="'1.1'!A1" display="1.1  З О В Н І Ш Н І Й   Б О Р Г   У К Р А Ї Н И"/>
    <hyperlink ref="C3" location="'1.2'!A1" display="1.2  ВАЛЮТНА СТРУКТУРА ЗОВНІШНЬОГО БОРГУ  за початковим терміном до погашення у розрізі секторів економіки"/>
    <hyperlink ref="C4" location="'1.3'!A1" display="'1.3'!A1"/>
    <hyperlink ref="C5" location="'1.4'!A1" display="'1.4'!A1"/>
  </hyperlinks>
  <pageMargins left="0.48" right="0.1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22860</xdr:colOff>
                    <xdr:row>0</xdr:row>
                    <xdr:rowOff>30480</xdr:rowOff>
                  </from>
                  <to>
                    <xdr:col>1</xdr:col>
                    <xdr:colOff>0</xdr:colOff>
                    <xdr:row>2</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BI56"/>
  <sheetViews>
    <sheetView zoomScaleNormal="100" workbookViewId="0">
      <pane xSplit="1" ySplit="6" topLeftCell="O40" activePane="bottomRight" state="frozen"/>
      <selection pane="topRight" activeCell="B1" sqref="B1"/>
      <selection pane="bottomLeft" activeCell="A7" sqref="A7"/>
      <selection pane="bottomRight" activeCell="Q13" sqref="Q13"/>
    </sheetView>
  </sheetViews>
  <sheetFormatPr defaultColWidth="9.33203125" defaultRowHeight="11.4"/>
  <cols>
    <col min="1" max="1" width="50.44140625" style="3" customWidth="1"/>
    <col min="2" max="19" width="9.5546875" style="3" customWidth="1"/>
    <col min="20" max="20" width="9.88671875" style="3" customWidth="1"/>
    <col min="21" max="16384" width="9.33203125" style="3"/>
  </cols>
  <sheetData>
    <row r="2" spans="1:21" ht="12">
      <c r="A2" s="151" t="str">
        <f>IF('1'!$A$1=1,"З О В Н І Ш Н І Й   Б О Р Г   У К Р А Ї Н И","G r o s s   e x t e r n a l   d e b t   p o s i t i o n   o f   U k r a I n e")</f>
        <v>З О В Н І Ш Н І Й   Б О Р Г   У К Р А Ї Н И</v>
      </c>
      <c r="B2" s="151"/>
      <c r="C2" s="151"/>
      <c r="D2" s="151"/>
      <c r="E2" s="151"/>
      <c r="F2" s="151"/>
      <c r="G2" s="151"/>
      <c r="H2" s="151"/>
      <c r="I2" s="151"/>
      <c r="J2" s="151"/>
      <c r="K2" s="151"/>
      <c r="L2" s="151"/>
      <c r="M2" s="151"/>
      <c r="N2" s="151"/>
      <c r="O2" s="151"/>
      <c r="P2" s="151"/>
      <c r="Q2" s="151"/>
      <c r="R2" s="151"/>
      <c r="S2" s="151"/>
    </row>
    <row r="3" spans="1:21" ht="12">
      <c r="A3" s="151" t="str">
        <f>IF('1'!$A$1=1,"(за методологією МВФ, КПБ 6)","(IMF methodology, BPM 6)")</f>
        <v>(за методологією МВФ, КПБ 6)</v>
      </c>
      <c r="B3" s="151"/>
      <c r="C3" s="151"/>
      <c r="D3" s="151"/>
      <c r="E3" s="151"/>
      <c r="F3" s="151"/>
      <c r="G3" s="151"/>
      <c r="H3" s="151"/>
      <c r="I3" s="151"/>
      <c r="J3" s="151"/>
      <c r="K3" s="151"/>
      <c r="L3" s="151"/>
      <c r="M3" s="151"/>
      <c r="N3" s="151"/>
      <c r="O3" s="151"/>
      <c r="P3" s="151"/>
      <c r="Q3" s="151"/>
      <c r="R3" s="151"/>
      <c r="S3" s="151"/>
    </row>
    <row r="4" spans="1:21" ht="12">
      <c r="A4" s="9"/>
      <c r="B4" s="9"/>
      <c r="C4" s="10"/>
      <c r="D4" s="11"/>
      <c r="E4" s="11"/>
      <c r="F4" s="11"/>
      <c r="G4" s="11"/>
      <c r="H4" s="11"/>
      <c r="I4" s="11"/>
      <c r="J4" s="11"/>
      <c r="L4" s="11"/>
      <c r="M4" s="11"/>
      <c r="N4" s="11"/>
      <c r="O4" s="11"/>
      <c r="P4" s="11"/>
      <c r="Q4" s="11"/>
      <c r="T4" s="97" t="str">
        <f>IF('1'!$A$1=1,"Млн дол. США","Millions of USD")</f>
        <v>Млн дол. США</v>
      </c>
      <c r="U4" s="98"/>
    </row>
    <row r="5" spans="1:21" ht="12">
      <c r="A5" s="17" t="str">
        <f>IF('1'!$A$1=1,"Показники","Data Category")</f>
        <v>Показники</v>
      </c>
      <c r="B5" s="21" t="str">
        <f>IF('1'!$A$1=1,"на","   ")</f>
        <v>на</v>
      </c>
      <c r="C5" s="19" t="str">
        <f>IF('1'!$A$1=1,"на","   ")</f>
        <v>на</v>
      </c>
      <c r="D5" s="19" t="str">
        <f>IF('1'!$A$1=1,"на","   ")</f>
        <v>на</v>
      </c>
      <c r="E5" s="19" t="str">
        <f>IF('1'!$A$1=1,"на","   ")</f>
        <v>на</v>
      </c>
      <c r="F5" s="19" t="str">
        <f>IF('1'!$A$1=1,"на","   ")</f>
        <v>на</v>
      </c>
      <c r="G5" s="19" t="str">
        <f>IF('1'!$A$1=1,"на","   ")</f>
        <v>на</v>
      </c>
      <c r="H5" s="19" t="str">
        <f>IF('1'!$A$1=1,"на","   ")</f>
        <v>на</v>
      </c>
      <c r="I5" s="19" t="str">
        <f>IF('1'!$A$1=1,"на","   ")</f>
        <v>на</v>
      </c>
      <c r="J5" s="19" t="str">
        <f>IF('1'!$A$1=1,"на","   ")</f>
        <v>на</v>
      </c>
      <c r="K5" s="19" t="str">
        <f>IF('1'!$A$1=1,"на","   ")</f>
        <v>на</v>
      </c>
      <c r="L5" s="19" t="str">
        <f>IF('1'!$A$1=1,"на","   ")</f>
        <v>на</v>
      </c>
      <c r="M5" s="19" t="str">
        <f>IF('1'!$A$1=1,"на","   ")</f>
        <v>на</v>
      </c>
      <c r="N5" s="19" t="str">
        <f>IF('1'!$A$1=1,"на","   ")</f>
        <v>на</v>
      </c>
      <c r="O5" s="19" t="str">
        <f>IF('1'!$A$1=1,"на","   ")</f>
        <v>на</v>
      </c>
      <c r="P5" s="19" t="str">
        <f>IF('1'!$A$1=1,"на","   ")</f>
        <v>на</v>
      </c>
      <c r="Q5" s="19" t="str">
        <f>IF('1'!$A$1=1,"на","   ")</f>
        <v>на</v>
      </c>
      <c r="R5" s="19" t="str">
        <f>IF('1'!$A$1=1,"на","   ")</f>
        <v>на</v>
      </c>
      <c r="S5" s="19" t="str">
        <f>IF('1'!$A$1=1,"на","   ")</f>
        <v>на</v>
      </c>
      <c r="T5" s="19" t="str">
        <f>IF('1'!$A$1=1,"на","   ")</f>
        <v>на</v>
      </c>
    </row>
    <row r="6" spans="1:21" ht="12">
      <c r="A6" s="18"/>
      <c r="B6" s="22">
        <v>37986</v>
      </c>
      <c r="C6" s="20">
        <v>38352</v>
      </c>
      <c r="D6" s="20">
        <v>38717</v>
      </c>
      <c r="E6" s="20">
        <v>39082</v>
      </c>
      <c r="F6" s="20">
        <v>39447</v>
      </c>
      <c r="G6" s="20">
        <v>39813</v>
      </c>
      <c r="H6" s="20">
        <v>40178</v>
      </c>
      <c r="I6" s="20">
        <v>40543</v>
      </c>
      <c r="J6" s="20">
        <v>40908</v>
      </c>
      <c r="K6" s="20">
        <v>41274</v>
      </c>
      <c r="L6" s="20">
        <v>41639</v>
      </c>
      <c r="M6" s="20">
        <v>42004</v>
      </c>
      <c r="N6" s="20">
        <v>42369</v>
      </c>
      <c r="O6" s="20">
        <v>42735</v>
      </c>
      <c r="P6" s="20">
        <v>43100</v>
      </c>
      <c r="Q6" s="150">
        <v>43465</v>
      </c>
      <c r="R6" s="150">
        <v>43830</v>
      </c>
      <c r="S6" s="150">
        <v>44196</v>
      </c>
      <c r="T6" s="150">
        <v>44561</v>
      </c>
    </row>
    <row r="7" spans="1:21" ht="16.5" customHeight="1">
      <c r="A7" s="110" t="s">
        <v>32</v>
      </c>
      <c r="B7" s="55">
        <v>8743</v>
      </c>
      <c r="C7" s="55">
        <v>10058</v>
      </c>
      <c r="D7" s="55">
        <v>10506</v>
      </c>
      <c r="E7" s="55">
        <v>10924</v>
      </c>
      <c r="F7" s="55">
        <v>11884</v>
      </c>
      <c r="G7" s="55">
        <v>11959</v>
      </c>
      <c r="H7" s="55">
        <v>17806</v>
      </c>
      <c r="I7" s="55">
        <v>24982</v>
      </c>
      <c r="J7" s="55">
        <v>25874</v>
      </c>
      <c r="K7" s="55">
        <v>27333</v>
      </c>
      <c r="L7" s="55">
        <v>29922</v>
      </c>
      <c r="M7" s="55">
        <v>32884</v>
      </c>
      <c r="N7" s="55">
        <v>35959</v>
      </c>
      <c r="O7" s="55">
        <v>36495</v>
      </c>
      <c r="P7" s="55">
        <v>38886</v>
      </c>
      <c r="Q7" s="58">
        <v>40128</v>
      </c>
      <c r="R7" s="58">
        <v>44531</v>
      </c>
      <c r="S7" s="103">
        <v>47765</v>
      </c>
      <c r="T7" s="101">
        <v>51248</v>
      </c>
    </row>
    <row r="8" spans="1:21" ht="16.5" customHeight="1">
      <c r="A8" s="23" t="s">
        <v>33</v>
      </c>
      <c r="B8" s="56">
        <v>0</v>
      </c>
      <c r="C8" s="56">
        <v>0</v>
      </c>
      <c r="D8" s="56">
        <v>0</v>
      </c>
      <c r="E8" s="56">
        <v>0</v>
      </c>
      <c r="F8" s="56">
        <v>0</v>
      </c>
      <c r="G8" s="56">
        <v>0</v>
      </c>
      <c r="H8" s="56">
        <v>29</v>
      </c>
      <c r="I8" s="56">
        <v>2053</v>
      </c>
      <c r="J8" s="56">
        <v>2001</v>
      </c>
      <c r="K8" s="56">
        <v>62</v>
      </c>
      <c r="L8" s="56">
        <v>0</v>
      </c>
      <c r="M8" s="56">
        <v>6</v>
      </c>
      <c r="N8" s="56">
        <v>0</v>
      </c>
      <c r="O8" s="56">
        <v>0</v>
      </c>
      <c r="P8" s="56">
        <v>0</v>
      </c>
      <c r="Q8" s="56">
        <v>5</v>
      </c>
      <c r="R8" s="56">
        <v>255</v>
      </c>
      <c r="S8" s="56">
        <v>437</v>
      </c>
      <c r="T8" s="105">
        <v>30</v>
      </c>
    </row>
    <row r="9" spans="1:21" ht="16.5" customHeight="1">
      <c r="A9" s="24" t="s">
        <v>34</v>
      </c>
      <c r="B9" s="57">
        <v>0</v>
      </c>
      <c r="C9" s="57">
        <v>0</v>
      </c>
      <c r="D9" s="57">
        <v>0</v>
      </c>
      <c r="E9" s="57">
        <v>0</v>
      </c>
      <c r="F9" s="57">
        <v>0</v>
      </c>
      <c r="G9" s="57">
        <v>0</v>
      </c>
      <c r="H9" s="57">
        <v>29</v>
      </c>
      <c r="I9" s="57">
        <v>53</v>
      </c>
      <c r="J9" s="57">
        <v>1</v>
      </c>
      <c r="K9" s="57">
        <v>62</v>
      </c>
      <c r="L9" s="57">
        <v>0</v>
      </c>
      <c r="M9" s="57">
        <v>6</v>
      </c>
      <c r="N9" s="57">
        <v>0</v>
      </c>
      <c r="O9" s="57">
        <v>0</v>
      </c>
      <c r="P9" s="57">
        <v>0</v>
      </c>
      <c r="Q9" s="57">
        <v>5</v>
      </c>
      <c r="R9" s="57">
        <v>255</v>
      </c>
      <c r="S9" s="57">
        <v>93</v>
      </c>
      <c r="T9" s="106">
        <v>30</v>
      </c>
    </row>
    <row r="10" spans="1:21" ht="16.5" customHeight="1">
      <c r="A10" s="24" t="s">
        <v>35</v>
      </c>
      <c r="B10" s="57">
        <v>0</v>
      </c>
      <c r="C10" s="57">
        <v>0</v>
      </c>
      <c r="D10" s="57">
        <v>0</v>
      </c>
      <c r="E10" s="57">
        <v>0</v>
      </c>
      <c r="F10" s="57">
        <v>0</v>
      </c>
      <c r="G10" s="57">
        <v>0</v>
      </c>
      <c r="H10" s="57">
        <v>0</v>
      </c>
      <c r="I10" s="57">
        <v>2000</v>
      </c>
      <c r="J10" s="57">
        <v>2000</v>
      </c>
      <c r="K10" s="57">
        <v>0</v>
      </c>
      <c r="L10" s="57">
        <v>0</v>
      </c>
      <c r="M10" s="57">
        <v>0</v>
      </c>
      <c r="N10" s="57">
        <v>0</v>
      </c>
      <c r="O10" s="57">
        <v>0</v>
      </c>
      <c r="P10" s="57">
        <v>0</v>
      </c>
      <c r="Q10" s="57">
        <v>0</v>
      </c>
      <c r="R10" s="57">
        <v>0</v>
      </c>
      <c r="S10" s="57">
        <v>344</v>
      </c>
      <c r="T10" s="106">
        <v>0</v>
      </c>
    </row>
    <row r="11" spans="1:21" ht="16.5" customHeight="1">
      <c r="A11" s="23" t="s">
        <v>36</v>
      </c>
      <c r="B11" s="56">
        <v>8743</v>
      </c>
      <c r="C11" s="56">
        <v>10058</v>
      </c>
      <c r="D11" s="56">
        <v>10506</v>
      </c>
      <c r="E11" s="56">
        <v>10924</v>
      </c>
      <c r="F11" s="56">
        <v>11884</v>
      </c>
      <c r="G11" s="56">
        <v>11959</v>
      </c>
      <c r="H11" s="56">
        <v>17777</v>
      </c>
      <c r="I11" s="56">
        <v>22929</v>
      </c>
      <c r="J11" s="56">
        <v>23873</v>
      </c>
      <c r="K11" s="56">
        <v>27271</v>
      </c>
      <c r="L11" s="56">
        <v>29922</v>
      </c>
      <c r="M11" s="56">
        <v>32878</v>
      </c>
      <c r="N11" s="56">
        <v>35959</v>
      </c>
      <c r="O11" s="56">
        <v>36495</v>
      </c>
      <c r="P11" s="56">
        <v>38886</v>
      </c>
      <c r="Q11" s="56">
        <v>40123</v>
      </c>
      <c r="R11" s="56">
        <v>44276</v>
      </c>
      <c r="S11" s="56">
        <v>47328</v>
      </c>
      <c r="T11" s="105">
        <v>51218</v>
      </c>
    </row>
    <row r="12" spans="1:21" ht="16.5" customHeight="1">
      <c r="A12" s="24" t="s">
        <v>37</v>
      </c>
      <c r="B12" s="57">
        <v>0</v>
      </c>
      <c r="C12" s="57">
        <v>0</v>
      </c>
      <c r="D12" s="57">
        <v>0</v>
      </c>
      <c r="E12" s="57">
        <v>0</v>
      </c>
      <c r="F12" s="57">
        <v>0</v>
      </c>
      <c r="G12" s="57">
        <v>0</v>
      </c>
      <c r="H12" s="57">
        <v>1925</v>
      </c>
      <c r="I12" s="57">
        <v>1891</v>
      </c>
      <c r="J12" s="57">
        <v>1885</v>
      </c>
      <c r="K12" s="57">
        <v>1887</v>
      </c>
      <c r="L12" s="57">
        <v>1897</v>
      </c>
      <c r="M12" s="57">
        <v>1779</v>
      </c>
      <c r="N12" s="57">
        <v>1702</v>
      </c>
      <c r="O12" s="57">
        <v>1651</v>
      </c>
      <c r="P12" s="57">
        <v>1749</v>
      </c>
      <c r="Q12" s="57">
        <v>1708</v>
      </c>
      <c r="R12" s="57">
        <v>1698</v>
      </c>
      <c r="S12" s="57">
        <v>1769</v>
      </c>
      <c r="T12" s="106">
        <v>4417</v>
      </c>
    </row>
    <row r="13" spans="1:21" ht="16.5" customHeight="1">
      <c r="A13" s="24" t="s">
        <v>34</v>
      </c>
      <c r="B13" s="57">
        <v>3280</v>
      </c>
      <c r="C13" s="57">
        <v>4440</v>
      </c>
      <c r="D13" s="57">
        <v>5496</v>
      </c>
      <c r="E13" s="57">
        <v>6248</v>
      </c>
      <c r="F13" s="57">
        <v>7414</v>
      </c>
      <c r="G13" s="57">
        <v>6997</v>
      </c>
      <c r="H13" s="57">
        <v>5747</v>
      </c>
      <c r="I13" s="57">
        <v>9148</v>
      </c>
      <c r="J13" s="57">
        <v>10047</v>
      </c>
      <c r="K13" s="57">
        <v>14221</v>
      </c>
      <c r="L13" s="57">
        <v>19386</v>
      </c>
      <c r="M13" s="57">
        <v>19334</v>
      </c>
      <c r="N13" s="57">
        <v>18838</v>
      </c>
      <c r="O13" s="57">
        <v>19479</v>
      </c>
      <c r="P13" s="57">
        <v>20859</v>
      </c>
      <c r="Q13" s="57">
        <v>22884</v>
      </c>
      <c r="R13" s="57">
        <v>27178</v>
      </c>
      <c r="S13" s="57">
        <v>26465</v>
      </c>
      <c r="T13" s="106">
        <v>26398</v>
      </c>
    </row>
    <row r="14" spans="1:21" ht="16.5" customHeight="1">
      <c r="A14" s="24" t="s">
        <v>35</v>
      </c>
      <c r="B14" s="57">
        <v>5463</v>
      </c>
      <c r="C14" s="57">
        <v>5618</v>
      </c>
      <c r="D14" s="57">
        <v>5010</v>
      </c>
      <c r="E14" s="57">
        <v>4676</v>
      </c>
      <c r="F14" s="57">
        <v>4470</v>
      </c>
      <c r="G14" s="57">
        <v>4962</v>
      </c>
      <c r="H14" s="57">
        <v>10105</v>
      </c>
      <c r="I14" s="57">
        <v>11890</v>
      </c>
      <c r="J14" s="57">
        <v>11941</v>
      </c>
      <c r="K14" s="57">
        <v>11163</v>
      </c>
      <c r="L14" s="57">
        <v>8639</v>
      </c>
      <c r="M14" s="57">
        <v>11765</v>
      </c>
      <c r="N14" s="57">
        <v>15419</v>
      </c>
      <c r="O14" s="57">
        <v>15365</v>
      </c>
      <c r="P14" s="57">
        <v>16278</v>
      </c>
      <c r="Q14" s="57">
        <v>15531</v>
      </c>
      <c r="R14" s="57">
        <v>15400</v>
      </c>
      <c r="S14" s="57">
        <v>19094</v>
      </c>
      <c r="T14" s="106">
        <v>20403</v>
      </c>
    </row>
    <row r="15" spans="1:21" ht="6" customHeight="1">
      <c r="A15" s="25"/>
      <c r="B15" s="57"/>
      <c r="C15" s="57"/>
      <c r="D15" s="57"/>
      <c r="E15" s="57"/>
      <c r="F15" s="57"/>
      <c r="G15" s="57"/>
      <c r="H15" s="57"/>
      <c r="I15" s="57"/>
      <c r="J15" s="57"/>
      <c r="K15" s="57"/>
      <c r="L15" s="57"/>
      <c r="M15" s="57"/>
      <c r="N15" s="57"/>
      <c r="O15" s="57"/>
      <c r="P15" s="57"/>
      <c r="Q15" s="57"/>
      <c r="R15" s="57"/>
      <c r="S15" s="57"/>
      <c r="T15" s="106"/>
    </row>
    <row r="16" spans="1:21" ht="16.5" customHeight="1">
      <c r="A16" s="110" t="s">
        <v>38</v>
      </c>
      <c r="B16" s="58">
        <v>1919</v>
      </c>
      <c r="C16" s="58">
        <v>1695</v>
      </c>
      <c r="D16" s="58">
        <v>1257</v>
      </c>
      <c r="E16" s="58">
        <v>880</v>
      </c>
      <c r="F16" s="58">
        <v>462</v>
      </c>
      <c r="G16" s="58">
        <v>4725</v>
      </c>
      <c r="H16" s="58">
        <v>6211</v>
      </c>
      <c r="I16" s="58">
        <v>7512</v>
      </c>
      <c r="J16" s="58">
        <v>7492</v>
      </c>
      <c r="K16" s="58">
        <v>4865</v>
      </c>
      <c r="L16" s="58">
        <v>1775</v>
      </c>
      <c r="M16" s="58">
        <v>2176</v>
      </c>
      <c r="N16" s="58">
        <v>6743</v>
      </c>
      <c r="O16" s="58">
        <v>6242</v>
      </c>
      <c r="P16" s="58">
        <v>7438</v>
      </c>
      <c r="Q16" s="58">
        <v>7938</v>
      </c>
      <c r="R16" s="58">
        <v>7303</v>
      </c>
      <c r="S16" s="103">
        <v>6927</v>
      </c>
      <c r="T16" s="101">
        <v>5825</v>
      </c>
    </row>
    <row r="17" spans="1:20" ht="16.5" customHeight="1">
      <c r="A17" s="23" t="s">
        <v>33</v>
      </c>
      <c r="B17" s="56">
        <v>0</v>
      </c>
      <c r="C17" s="56">
        <v>10</v>
      </c>
      <c r="D17" s="56">
        <v>3</v>
      </c>
      <c r="E17" s="56">
        <v>0</v>
      </c>
      <c r="F17" s="56">
        <v>0</v>
      </c>
      <c r="G17" s="56">
        <v>0</v>
      </c>
      <c r="H17" s="56">
        <v>1</v>
      </c>
      <c r="I17" s="56">
        <v>3</v>
      </c>
      <c r="J17" s="56">
        <v>5</v>
      </c>
      <c r="K17" s="56">
        <v>12</v>
      </c>
      <c r="L17" s="56">
        <v>0</v>
      </c>
      <c r="M17" s="56">
        <v>0</v>
      </c>
      <c r="N17" s="56">
        <v>1301</v>
      </c>
      <c r="O17" s="56">
        <v>0</v>
      </c>
      <c r="P17" s="56">
        <v>0</v>
      </c>
      <c r="Q17" s="56">
        <v>0</v>
      </c>
      <c r="R17" s="56">
        <v>0</v>
      </c>
      <c r="S17" s="56">
        <v>0</v>
      </c>
      <c r="T17" s="105">
        <v>0</v>
      </c>
    </row>
    <row r="18" spans="1:20" ht="16.5" customHeight="1">
      <c r="A18" s="24" t="s">
        <v>39</v>
      </c>
      <c r="B18" s="57">
        <v>0</v>
      </c>
      <c r="C18" s="57">
        <v>5</v>
      </c>
      <c r="D18" s="57">
        <v>3</v>
      </c>
      <c r="E18" s="57">
        <v>0</v>
      </c>
      <c r="F18" s="57">
        <v>0</v>
      </c>
      <c r="G18" s="57">
        <v>0</v>
      </c>
      <c r="H18" s="57">
        <v>1</v>
      </c>
      <c r="I18" s="57">
        <v>3</v>
      </c>
      <c r="J18" s="57">
        <v>5</v>
      </c>
      <c r="K18" s="57">
        <v>12</v>
      </c>
      <c r="L18" s="57">
        <v>0</v>
      </c>
      <c r="M18" s="57">
        <v>0</v>
      </c>
      <c r="N18" s="57">
        <v>0</v>
      </c>
      <c r="O18" s="57">
        <v>0</v>
      </c>
      <c r="P18" s="57">
        <v>0</v>
      </c>
      <c r="Q18" s="57">
        <v>0</v>
      </c>
      <c r="R18" s="57">
        <v>0</v>
      </c>
      <c r="S18" s="57">
        <v>0</v>
      </c>
      <c r="T18" s="106">
        <v>0</v>
      </c>
    </row>
    <row r="19" spans="1:20" ht="16.5" customHeight="1">
      <c r="A19" s="24" t="s">
        <v>35</v>
      </c>
      <c r="B19" s="57">
        <v>0</v>
      </c>
      <c r="C19" s="57">
        <v>5</v>
      </c>
      <c r="D19" s="57">
        <v>0</v>
      </c>
      <c r="E19" s="57">
        <v>0</v>
      </c>
      <c r="F19" s="57">
        <v>0</v>
      </c>
      <c r="G19" s="57">
        <v>0</v>
      </c>
      <c r="H19" s="57">
        <v>0</v>
      </c>
      <c r="I19" s="57">
        <v>0</v>
      </c>
      <c r="J19" s="57">
        <v>0</v>
      </c>
      <c r="K19" s="57">
        <v>0</v>
      </c>
      <c r="L19" s="57">
        <v>0</v>
      </c>
      <c r="M19" s="57">
        <v>0</v>
      </c>
      <c r="N19" s="57">
        <v>1301</v>
      </c>
      <c r="O19" s="57">
        <v>0</v>
      </c>
      <c r="P19" s="57">
        <v>0</v>
      </c>
      <c r="Q19" s="57">
        <v>0</v>
      </c>
      <c r="R19" s="57">
        <v>0</v>
      </c>
      <c r="S19" s="57">
        <v>0</v>
      </c>
      <c r="T19" s="106">
        <v>0</v>
      </c>
    </row>
    <row r="20" spans="1:20" ht="16.5" customHeight="1">
      <c r="A20" s="23" t="s">
        <v>36</v>
      </c>
      <c r="B20" s="56">
        <v>1919</v>
      </c>
      <c r="C20" s="56">
        <v>1685</v>
      </c>
      <c r="D20" s="56">
        <v>1254</v>
      </c>
      <c r="E20" s="56">
        <v>880</v>
      </c>
      <c r="F20" s="56">
        <v>462</v>
      </c>
      <c r="G20" s="56">
        <v>4725</v>
      </c>
      <c r="H20" s="56">
        <v>6210</v>
      </c>
      <c r="I20" s="56">
        <v>7509</v>
      </c>
      <c r="J20" s="56">
        <v>7487</v>
      </c>
      <c r="K20" s="56">
        <v>4853</v>
      </c>
      <c r="L20" s="56">
        <v>1775</v>
      </c>
      <c r="M20" s="56">
        <v>2176</v>
      </c>
      <c r="N20" s="56">
        <v>5442</v>
      </c>
      <c r="O20" s="56">
        <v>6242</v>
      </c>
      <c r="P20" s="56">
        <v>7438</v>
      </c>
      <c r="Q20" s="56">
        <v>7938</v>
      </c>
      <c r="R20" s="56">
        <v>7303</v>
      </c>
      <c r="S20" s="56">
        <v>6927</v>
      </c>
      <c r="T20" s="105">
        <v>5825</v>
      </c>
    </row>
    <row r="21" spans="1:20" ht="16.5" customHeight="1">
      <c r="A21" s="24" t="s">
        <v>37</v>
      </c>
      <c r="B21" s="57">
        <v>0</v>
      </c>
      <c r="C21" s="57">
        <v>0</v>
      </c>
      <c r="D21" s="57">
        <v>0</v>
      </c>
      <c r="E21" s="57">
        <v>0</v>
      </c>
      <c r="F21" s="57">
        <v>0</v>
      </c>
      <c r="G21" s="57">
        <v>0</v>
      </c>
      <c r="H21" s="57">
        <v>128</v>
      </c>
      <c r="I21" s="57">
        <v>125</v>
      </c>
      <c r="J21" s="57">
        <v>125</v>
      </c>
      <c r="K21" s="57">
        <v>125</v>
      </c>
      <c r="L21" s="57">
        <v>126</v>
      </c>
      <c r="M21" s="57">
        <v>118</v>
      </c>
      <c r="N21" s="57">
        <v>113</v>
      </c>
      <c r="O21" s="57">
        <v>109</v>
      </c>
      <c r="P21" s="57">
        <v>116</v>
      </c>
      <c r="Q21" s="57">
        <v>113</v>
      </c>
      <c r="R21" s="57">
        <v>113</v>
      </c>
      <c r="S21" s="57">
        <v>117</v>
      </c>
      <c r="T21" s="106">
        <v>114</v>
      </c>
    </row>
    <row r="22" spans="1:20" ht="16.5" customHeight="1">
      <c r="A22" s="24" t="s">
        <v>34</v>
      </c>
      <c r="B22" s="57">
        <v>10</v>
      </c>
      <c r="C22" s="57">
        <v>0</v>
      </c>
      <c r="D22" s="57">
        <v>0</v>
      </c>
      <c r="E22" s="57">
        <v>0</v>
      </c>
      <c r="F22" s="57">
        <v>0</v>
      </c>
      <c r="G22" s="57">
        <v>0</v>
      </c>
      <c r="H22" s="57">
        <v>0</v>
      </c>
      <c r="I22" s="57">
        <v>0</v>
      </c>
      <c r="J22" s="57">
        <v>0</v>
      </c>
      <c r="K22" s="57">
        <v>0</v>
      </c>
      <c r="L22" s="57">
        <v>0</v>
      </c>
      <c r="M22" s="57">
        <v>0</v>
      </c>
      <c r="N22" s="57">
        <v>0</v>
      </c>
      <c r="O22" s="57">
        <v>0</v>
      </c>
      <c r="P22" s="57">
        <v>0</v>
      </c>
      <c r="Q22" s="57">
        <v>0</v>
      </c>
      <c r="R22" s="57">
        <v>0</v>
      </c>
      <c r="S22" s="57">
        <v>0</v>
      </c>
      <c r="T22" s="106">
        <v>0</v>
      </c>
    </row>
    <row r="23" spans="1:20" ht="16.5" customHeight="1">
      <c r="A23" s="24" t="s">
        <v>35</v>
      </c>
      <c r="B23" s="57">
        <v>1909</v>
      </c>
      <c r="C23" s="57">
        <v>1685</v>
      </c>
      <c r="D23" s="57">
        <v>1254</v>
      </c>
      <c r="E23" s="57">
        <v>880</v>
      </c>
      <c r="F23" s="57">
        <v>462</v>
      </c>
      <c r="G23" s="57">
        <v>4725</v>
      </c>
      <c r="H23" s="57">
        <v>6082</v>
      </c>
      <c r="I23" s="57">
        <v>7384</v>
      </c>
      <c r="J23" s="57">
        <v>7362</v>
      </c>
      <c r="K23" s="57">
        <v>4728</v>
      </c>
      <c r="L23" s="57">
        <v>1649</v>
      </c>
      <c r="M23" s="57">
        <v>2058</v>
      </c>
      <c r="N23" s="57">
        <v>5329</v>
      </c>
      <c r="O23" s="57">
        <v>6133</v>
      </c>
      <c r="P23" s="57">
        <v>7322</v>
      </c>
      <c r="Q23" s="57">
        <v>7825</v>
      </c>
      <c r="R23" s="57">
        <v>7190</v>
      </c>
      <c r="S23" s="57">
        <v>6810</v>
      </c>
      <c r="T23" s="106">
        <v>5711</v>
      </c>
    </row>
    <row r="24" spans="1:20" ht="6" customHeight="1">
      <c r="A24" s="25"/>
      <c r="B24" s="57"/>
      <c r="C24" s="57"/>
      <c r="D24" s="57"/>
      <c r="E24" s="57"/>
      <c r="F24" s="57"/>
      <c r="G24" s="57"/>
      <c r="H24" s="57"/>
      <c r="I24" s="57"/>
      <c r="J24" s="57"/>
      <c r="K24" s="57"/>
      <c r="L24" s="57"/>
      <c r="M24" s="57"/>
      <c r="N24" s="57"/>
      <c r="O24" s="57"/>
      <c r="P24" s="57"/>
      <c r="Q24" s="57"/>
      <c r="R24" s="57"/>
      <c r="S24" s="57"/>
      <c r="T24" s="106"/>
    </row>
    <row r="25" spans="1:20" ht="16.5" customHeight="1">
      <c r="A25" s="110" t="s">
        <v>40</v>
      </c>
      <c r="B25" s="58">
        <v>1746</v>
      </c>
      <c r="C25" s="58">
        <v>2657</v>
      </c>
      <c r="D25" s="58">
        <v>6109</v>
      </c>
      <c r="E25" s="58">
        <v>14089</v>
      </c>
      <c r="F25" s="58">
        <v>30949</v>
      </c>
      <c r="G25" s="58">
        <v>39471</v>
      </c>
      <c r="H25" s="58">
        <v>30860</v>
      </c>
      <c r="I25" s="58">
        <v>28116</v>
      </c>
      <c r="J25" s="58">
        <v>25193</v>
      </c>
      <c r="K25" s="58">
        <v>21541</v>
      </c>
      <c r="L25" s="58">
        <v>22555</v>
      </c>
      <c r="M25" s="58">
        <v>18752</v>
      </c>
      <c r="N25" s="58">
        <v>12823</v>
      </c>
      <c r="O25" s="58">
        <v>8966</v>
      </c>
      <c r="P25" s="58">
        <v>6228</v>
      </c>
      <c r="Q25" s="58">
        <v>5797</v>
      </c>
      <c r="R25" s="58">
        <v>4768</v>
      </c>
      <c r="S25" s="103">
        <v>3670</v>
      </c>
      <c r="T25" s="101">
        <v>3406</v>
      </c>
    </row>
    <row r="26" spans="1:20" ht="16.5" customHeight="1">
      <c r="A26" s="23" t="s">
        <v>33</v>
      </c>
      <c r="B26" s="56">
        <v>1087</v>
      </c>
      <c r="C26" s="56">
        <v>1647</v>
      </c>
      <c r="D26" s="56" t="s">
        <v>2</v>
      </c>
      <c r="E26" s="56">
        <v>6465</v>
      </c>
      <c r="F26" s="56">
        <v>11723</v>
      </c>
      <c r="G26" s="56">
        <v>9330</v>
      </c>
      <c r="H26" s="56">
        <v>4621</v>
      </c>
      <c r="I26" s="56">
        <v>4432</v>
      </c>
      <c r="J26" s="56">
        <v>5778</v>
      </c>
      <c r="K26" s="56">
        <v>4248</v>
      </c>
      <c r="L26" s="56">
        <v>5432</v>
      </c>
      <c r="M26" s="56">
        <v>5236</v>
      </c>
      <c r="N26" s="56">
        <v>4121</v>
      </c>
      <c r="O26" s="56">
        <v>3657</v>
      </c>
      <c r="P26" s="56">
        <v>2009</v>
      </c>
      <c r="Q26" s="56">
        <v>1231</v>
      </c>
      <c r="R26" s="56">
        <v>1162</v>
      </c>
      <c r="S26" s="56">
        <v>1104</v>
      </c>
      <c r="T26" s="105">
        <v>1473</v>
      </c>
    </row>
    <row r="27" spans="1:20" ht="16.5" customHeight="1">
      <c r="A27" s="24" t="s">
        <v>39</v>
      </c>
      <c r="B27" s="57">
        <v>1057</v>
      </c>
      <c r="C27" s="57">
        <v>1568</v>
      </c>
      <c r="D27" s="57">
        <v>2663</v>
      </c>
      <c r="E27" s="57">
        <v>5372</v>
      </c>
      <c r="F27" s="57">
        <v>9969</v>
      </c>
      <c r="G27" s="57">
        <v>8238</v>
      </c>
      <c r="H27" s="57">
        <v>4193</v>
      </c>
      <c r="I27" s="57">
        <v>4007</v>
      </c>
      <c r="J27" s="57">
        <v>5686</v>
      </c>
      <c r="K27" s="57">
        <v>4063</v>
      </c>
      <c r="L27" s="57">
        <v>4771</v>
      </c>
      <c r="M27" s="57">
        <v>4677</v>
      </c>
      <c r="N27" s="57">
        <v>3885</v>
      </c>
      <c r="O27" s="57">
        <v>3477</v>
      </c>
      <c r="P27" s="57">
        <v>1878</v>
      </c>
      <c r="Q27" s="57">
        <v>1201</v>
      </c>
      <c r="R27" s="57">
        <v>1134</v>
      </c>
      <c r="S27" s="57">
        <v>1062</v>
      </c>
      <c r="T27" s="106">
        <v>1462</v>
      </c>
    </row>
    <row r="28" spans="1:20" ht="16.5" customHeight="1">
      <c r="A28" s="24" t="s">
        <v>34</v>
      </c>
      <c r="B28" s="57">
        <v>11</v>
      </c>
      <c r="C28" s="57">
        <v>11</v>
      </c>
      <c r="D28" s="57">
        <v>24</v>
      </c>
      <c r="E28" s="57">
        <v>98</v>
      </c>
      <c r="F28" s="57">
        <v>0</v>
      </c>
      <c r="G28" s="57">
        <v>0</v>
      </c>
      <c r="H28" s="57">
        <v>0</v>
      </c>
      <c r="I28" s="57">
        <v>0</v>
      </c>
      <c r="J28" s="57">
        <v>0</v>
      </c>
      <c r="K28" s="57">
        <v>0</v>
      </c>
      <c r="L28" s="57">
        <v>0</v>
      </c>
      <c r="M28" s="57">
        <v>0</v>
      </c>
      <c r="N28" s="57">
        <v>0</v>
      </c>
      <c r="O28" s="57">
        <v>5</v>
      </c>
      <c r="P28" s="57">
        <v>0</v>
      </c>
      <c r="Q28" s="57">
        <v>0</v>
      </c>
      <c r="R28" s="57">
        <v>0</v>
      </c>
      <c r="S28" s="57">
        <v>0</v>
      </c>
      <c r="T28" s="106">
        <v>4</v>
      </c>
    </row>
    <row r="29" spans="1:20" ht="16.5" customHeight="1">
      <c r="A29" s="24" t="s">
        <v>35</v>
      </c>
      <c r="B29" s="57">
        <v>19</v>
      </c>
      <c r="C29" s="57">
        <v>68</v>
      </c>
      <c r="D29" s="57">
        <v>394</v>
      </c>
      <c r="E29" s="57">
        <v>995</v>
      </c>
      <c r="F29" s="57">
        <v>1754</v>
      </c>
      <c r="G29" s="57">
        <v>1092</v>
      </c>
      <c r="H29" s="57">
        <v>428</v>
      </c>
      <c r="I29" s="57">
        <v>425</v>
      </c>
      <c r="J29" s="57">
        <v>92</v>
      </c>
      <c r="K29" s="57">
        <v>185</v>
      </c>
      <c r="L29" s="57">
        <v>661</v>
      </c>
      <c r="M29" s="57">
        <v>559</v>
      </c>
      <c r="N29" s="57">
        <v>236</v>
      </c>
      <c r="O29" s="57">
        <v>175</v>
      </c>
      <c r="P29" s="57">
        <v>131</v>
      </c>
      <c r="Q29" s="57">
        <v>30</v>
      </c>
      <c r="R29" s="57">
        <v>28</v>
      </c>
      <c r="S29" s="57">
        <v>42</v>
      </c>
      <c r="T29" s="106">
        <v>7</v>
      </c>
    </row>
    <row r="30" spans="1:20" ht="16.5" customHeight="1">
      <c r="A30" s="23" t="s">
        <v>36</v>
      </c>
      <c r="B30" s="56">
        <v>659</v>
      </c>
      <c r="C30" s="56">
        <v>1010</v>
      </c>
      <c r="D30" s="56">
        <v>3028</v>
      </c>
      <c r="E30" s="56">
        <v>7624</v>
      </c>
      <c r="F30" s="56">
        <v>19226</v>
      </c>
      <c r="G30" s="56">
        <v>30141</v>
      </c>
      <c r="H30" s="56">
        <v>26239</v>
      </c>
      <c r="I30" s="56">
        <v>23684</v>
      </c>
      <c r="J30" s="56">
        <v>19415</v>
      </c>
      <c r="K30" s="56">
        <v>17293</v>
      </c>
      <c r="L30" s="56">
        <v>17123</v>
      </c>
      <c r="M30" s="56">
        <v>13516</v>
      </c>
      <c r="N30" s="56">
        <v>8702</v>
      </c>
      <c r="O30" s="56">
        <v>5309</v>
      </c>
      <c r="P30" s="56">
        <v>4219</v>
      </c>
      <c r="Q30" s="56">
        <v>4566</v>
      </c>
      <c r="R30" s="56">
        <v>3606</v>
      </c>
      <c r="S30" s="56">
        <v>2566</v>
      </c>
      <c r="T30" s="105">
        <v>1933</v>
      </c>
    </row>
    <row r="31" spans="1:20" ht="16.5" customHeight="1">
      <c r="A31" s="24" t="s">
        <v>39</v>
      </c>
      <c r="B31" s="57">
        <v>429</v>
      </c>
      <c r="C31" s="57">
        <v>581</v>
      </c>
      <c r="D31" s="57">
        <v>1377</v>
      </c>
      <c r="E31" s="57">
        <v>3751</v>
      </c>
      <c r="F31" s="57">
        <v>9014</v>
      </c>
      <c r="G31" s="57">
        <v>20740</v>
      </c>
      <c r="H31" s="57">
        <v>19492</v>
      </c>
      <c r="I31" s="57">
        <v>17806</v>
      </c>
      <c r="J31" s="57">
        <v>14551</v>
      </c>
      <c r="K31" s="57">
        <v>12939</v>
      </c>
      <c r="L31" s="57">
        <v>10288</v>
      </c>
      <c r="M31" s="57">
        <v>7131</v>
      </c>
      <c r="N31" s="57">
        <v>3752</v>
      </c>
      <c r="O31" s="57">
        <v>1673</v>
      </c>
      <c r="P31" s="57">
        <v>462</v>
      </c>
      <c r="Q31" s="57">
        <v>513</v>
      </c>
      <c r="R31" s="57">
        <v>383</v>
      </c>
      <c r="S31" s="57">
        <v>368</v>
      </c>
      <c r="T31" s="106">
        <v>341</v>
      </c>
    </row>
    <row r="32" spans="1:20" ht="16.5" customHeight="1">
      <c r="A32" s="24" t="s">
        <v>34</v>
      </c>
      <c r="B32" s="57">
        <v>103</v>
      </c>
      <c r="C32" s="57">
        <v>356</v>
      </c>
      <c r="D32" s="57">
        <v>1232</v>
      </c>
      <c r="E32" s="57">
        <v>3304</v>
      </c>
      <c r="F32" s="57">
        <v>6998</v>
      </c>
      <c r="G32" s="57">
        <v>6124</v>
      </c>
      <c r="H32" s="57">
        <v>4924</v>
      </c>
      <c r="I32" s="57">
        <v>4672</v>
      </c>
      <c r="J32" s="57">
        <v>3648</v>
      </c>
      <c r="K32" s="57">
        <v>3301</v>
      </c>
      <c r="L32" s="57">
        <v>5082</v>
      </c>
      <c r="M32" s="57">
        <v>4365</v>
      </c>
      <c r="N32" s="57">
        <v>3490</v>
      </c>
      <c r="O32" s="57">
        <v>2854</v>
      </c>
      <c r="P32" s="57">
        <v>2753</v>
      </c>
      <c r="Q32" s="57">
        <v>2841</v>
      </c>
      <c r="R32" s="57">
        <v>2071</v>
      </c>
      <c r="S32" s="57">
        <v>1244</v>
      </c>
      <c r="T32" s="106">
        <v>665</v>
      </c>
    </row>
    <row r="33" spans="1:20" ht="16.5" customHeight="1">
      <c r="A33" s="24" t="s">
        <v>35</v>
      </c>
      <c r="B33" s="57">
        <v>127</v>
      </c>
      <c r="C33" s="57">
        <v>73</v>
      </c>
      <c r="D33" s="57">
        <v>419</v>
      </c>
      <c r="E33" s="57">
        <v>569</v>
      </c>
      <c r="F33" s="57">
        <v>3214</v>
      </c>
      <c r="G33" s="57">
        <v>3277</v>
      </c>
      <c r="H33" s="57">
        <v>1823</v>
      </c>
      <c r="I33" s="57">
        <v>1206</v>
      </c>
      <c r="J33" s="57">
        <v>1216</v>
      </c>
      <c r="K33" s="57">
        <v>1053</v>
      </c>
      <c r="L33" s="57">
        <v>1753</v>
      </c>
      <c r="M33" s="57">
        <v>2020</v>
      </c>
      <c r="N33" s="57">
        <v>1460</v>
      </c>
      <c r="O33" s="57">
        <v>782</v>
      </c>
      <c r="P33" s="57">
        <v>1004</v>
      </c>
      <c r="Q33" s="57">
        <v>1212</v>
      </c>
      <c r="R33" s="57">
        <v>1152</v>
      </c>
      <c r="S33" s="57">
        <v>954</v>
      </c>
      <c r="T33" s="106">
        <v>927</v>
      </c>
    </row>
    <row r="34" spans="1:20" ht="6" customHeight="1">
      <c r="A34" s="25"/>
      <c r="B34" s="57"/>
      <c r="C34" s="57"/>
      <c r="D34" s="57"/>
      <c r="E34" s="57"/>
      <c r="F34" s="57"/>
      <c r="G34" s="57"/>
      <c r="H34" s="57"/>
      <c r="I34" s="57"/>
      <c r="J34" s="57"/>
      <c r="K34" s="57"/>
      <c r="L34" s="57"/>
      <c r="M34" s="57"/>
      <c r="N34" s="57"/>
      <c r="O34" s="57"/>
      <c r="P34" s="57"/>
      <c r="Q34" s="57"/>
      <c r="R34" s="57"/>
      <c r="S34" s="56"/>
      <c r="T34" s="105"/>
    </row>
    <row r="35" spans="1:20" ht="16.5" customHeight="1">
      <c r="A35" s="111" t="s">
        <v>41</v>
      </c>
      <c r="B35" s="58">
        <v>10989</v>
      </c>
      <c r="C35" s="58">
        <v>15678</v>
      </c>
      <c r="D35" s="58">
        <v>20913</v>
      </c>
      <c r="E35" s="58">
        <v>26676</v>
      </c>
      <c r="F35" s="58">
        <v>33581</v>
      </c>
      <c r="G35" s="58">
        <v>41255</v>
      </c>
      <c r="H35" s="58">
        <v>43441</v>
      </c>
      <c r="I35" s="58">
        <v>50843</v>
      </c>
      <c r="J35" s="58">
        <v>59357</v>
      </c>
      <c r="K35" s="58">
        <v>70441</v>
      </c>
      <c r="L35" s="58">
        <v>76642</v>
      </c>
      <c r="M35" s="58">
        <v>62228</v>
      </c>
      <c r="N35" s="58">
        <v>49011</v>
      </c>
      <c r="O35" s="58">
        <v>47449</v>
      </c>
      <c r="P35" s="58">
        <v>48750</v>
      </c>
      <c r="Q35" s="58">
        <v>46409</v>
      </c>
      <c r="R35" s="58">
        <v>49990</v>
      </c>
      <c r="S35" s="103">
        <v>49778</v>
      </c>
      <c r="T35" s="101">
        <v>47102</v>
      </c>
    </row>
    <row r="36" spans="1:20" ht="16.5" customHeight="1">
      <c r="A36" s="23" t="s">
        <v>33</v>
      </c>
      <c r="B36" s="56">
        <v>7576</v>
      </c>
      <c r="C36" s="56">
        <v>8364</v>
      </c>
      <c r="D36" s="56">
        <v>7504</v>
      </c>
      <c r="E36" s="56">
        <v>8364</v>
      </c>
      <c r="F36" s="56">
        <v>8512</v>
      </c>
      <c r="G36" s="56">
        <v>10134</v>
      </c>
      <c r="H36" s="56">
        <v>11985</v>
      </c>
      <c r="I36" s="56">
        <v>15190</v>
      </c>
      <c r="J36" s="56">
        <v>18933</v>
      </c>
      <c r="K36" s="56">
        <v>21107</v>
      </c>
      <c r="L36" s="56">
        <v>24310</v>
      </c>
      <c r="M36" s="56">
        <v>15036</v>
      </c>
      <c r="N36" s="56">
        <v>11460</v>
      </c>
      <c r="O36" s="56">
        <v>12122</v>
      </c>
      <c r="P36" s="56">
        <v>14899</v>
      </c>
      <c r="Q36" s="56">
        <v>13589</v>
      </c>
      <c r="R36" s="56">
        <v>14695</v>
      </c>
      <c r="S36" s="56">
        <v>15387</v>
      </c>
      <c r="T36" s="105">
        <v>14798</v>
      </c>
    </row>
    <row r="37" spans="1:20" ht="16.5" customHeight="1">
      <c r="A37" s="24" t="s">
        <v>34</v>
      </c>
      <c r="B37" s="57">
        <v>0</v>
      </c>
      <c r="C37" s="57">
        <v>0</v>
      </c>
      <c r="D37" s="57">
        <v>0</v>
      </c>
      <c r="E37" s="57">
        <v>0</v>
      </c>
      <c r="F37" s="57">
        <v>0</v>
      </c>
      <c r="G37" s="57">
        <v>0</v>
      </c>
      <c r="H37" s="57">
        <v>0</v>
      </c>
      <c r="I37" s="57">
        <v>8</v>
      </c>
      <c r="J37" s="57">
        <v>440</v>
      </c>
      <c r="K37" s="57">
        <v>0</v>
      </c>
      <c r="L37" s="57">
        <v>0</v>
      </c>
      <c r="M37" s="57">
        <v>0</v>
      </c>
      <c r="N37" s="57">
        <v>0</v>
      </c>
      <c r="O37" s="57">
        <v>4</v>
      </c>
      <c r="P37" s="57">
        <v>0</v>
      </c>
      <c r="Q37" s="57">
        <v>0</v>
      </c>
      <c r="R37" s="57">
        <v>0</v>
      </c>
      <c r="S37" s="57">
        <v>0</v>
      </c>
      <c r="T37" s="106">
        <v>0</v>
      </c>
    </row>
    <row r="38" spans="1:20" ht="16.5" customHeight="1">
      <c r="A38" s="24" t="s">
        <v>35</v>
      </c>
      <c r="B38" s="57">
        <v>363</v>
      </c>
      <c r="C38" s="57">
        <v>471</v>
      </c>
      <c r="D38" s="57">
        <v>634</v>
      </c>
      <c r="E38" s="57">
        <v>736</v>
      </c>
      <c r="F38" s="57">
        <v>838</v>
      </c>
      <c r="G38" s="57">
        <v>800</v>
      </c>
      <c r="H38" s="57">
        <v>525</v>
      </c>
      <c r="I38" s="57">
        <v>790</v>
      </c>
      <c r="J38" s="57">
        <v>1500</v>
      </c>
      <c r="K38" s="57">
        <v>717</v>
      </c>
      <c r="L38" s="57">
        <v>899</v>
      </c>
      <c r="M38" s="57">
        <v>995</v>
      </c>
      <c r="N38" s="57">
        <v>623</v>
      </c>
      <c r="O38" s="57">
        <v>667</v>
      </c>
      <c r="P38" s="57">
        <v>1060</v>
      </c>
      <c r="Q38" s="57">
        <v>1262</v>
      </c>
      <c r="R38" s="57">
        <v>1398</v>
      </c>
      <c r="S38" s="57">
        <v>747</v>
      </c>
      <c r="T38" s="106">
        <v>554</v>
      </c>
    </row>
    <row r="39" spans="1:20" ht="16.5" customHeight="1">
      <c r="A39" s="24" t="s">
        <v>42</v>
      </c>
      <c r="B39" s="57">
        <v>7213</v>
      </c>
      <c r="C39" s="57">
        <v>7893</v>
      </c>
      <c r="D39" s="57">
        <v>6870</v>
      </c>
      <c r="E39" s="57">
        <v>7628</v>
      </c>
      <c r="F39" s="57">
        <v>7674</v>
      </c>
      <c r="G39" s="57">
        <v>9334</v>
      </c>
      <c r="H39" s="57">
        <v>11460</v>
      </c>
      <c r="I39" s="57">
        <v>14392</v>
      </c>
      <c r="J39" s="57">
        <v>16993</v>
      </c>
      <c r="K39" s="57">
        <v>20390</v>
      </c>
      <c r="L39" s="57">
        <v>23411</v>
      </c>
      <c r="M39" s="57">
        <v>14041</v>
      </c>
      <c r="N39" s="57">
        <v>10837</v>
      </c>
      <c r="O39" s="57">
        <v>11451</v>
      </c>
      <c r="P39" s="57">
        <v>13839</v>
      </c>
      <c r="Q39" s="57">
        <v>12327</v>
      </c>
      <c r="R39" s="57">
        <v>13297</v>
      </c>
      <c r="S39" s="57">
        <v>14640</v>
      </c>
      <c r="T39" s="106">
        <v>14244</v>
      </c>
    </row>
    <row r="40" spans="1:20" ht="16.5" customHeight="1">
      <c r="A40" s="23" t="s">
        <v>36</v>
      </c>
      <c r="B40" s="56">
        <v>3413</v>
      </c>
      <c r="C40" s="56">
        <v>7314</v>
      </c>
      <c r="D40" s="56">
        <v>13409</v>
      </c>
      <c r="E40" s="56">
        <v>18312</v>
      </c>
      <c r="F40" s="56">
        <v>25069</v>
      </c>
      <c r="G40" s="56">
        <v>31121</v>
      </c>
      <c r="H40" s="56">
        <v>31456</v>
      </c>
      <c r="I40" s="56">
        <v>35653</v>
      </c>
      <c r="J40" s="56">
        <v>40424</v>
      </c>
      <c r="K40" s="56">
        <v>49334</v>
      </c>
      <c r="L40" s="56">
        <v>52332</v>
      </c>
      <c r="M40" s="56">
        <v>47192</v>
      </c>
      <c r="N40" s="56">
        <v>37551</v>
      </c>
      <c r="O40" s="56">
        <v>35327</v>
      </c>
      <c r="P40" s="56">
        <v>33851</v>
      </c>
      <c r="Q40" s="56">
        <v>32820</v>
      </c>
      <c r="R40" s="56">
        <v>35295</v>
      </c>
      <c r="S40" s="56">
        <v>34391</v>
      </c>
      <c r="T40" s="105">
        <v>32304</v>
      </c>
    </row>
    <row r="41" spans="1:20" ht="16.5" customHeight="1">
      <c r="A41" s="24" t="s">
        <v>43</v>
      </c>
      <c r="B41" s="57">
        <v>197</v>
      </c>
      <c r="C41" s="57">
        <v>990</v>
      </c>
      <c r="D41" s="57">
        <v>1383</v>
      </c>
      <c r="E41" s="57">
        <v>1963</v>
      </c>
      <c r="F41" s="57">
        <v>2124</v>
      </c>
      <c r="G41" s="57">
        <v>1634</v>
      </c>
      <c r="H41" s="57">
        <v>2472</v>
      </c>
      <c r="I41" s="57">
        <v>3431</v>
      </c>
      <c r="J41" s="57">
        <v>4082</v>
      </c>
      <c r="K41" s="57">
        <v>5251</v>
      </c>
      <c r="L41" s="57">
        <v>6291</v>
      </c>
      <c r="M41" s="57">
        <v>3654</v>
      </c>
      <c r="N41" s="57">
        <v>1559</v>
      </c>
      <c r="O41" s="57">
        <v>1512</v>
      </c>
      <c r="P41" s="57">
        <v>1813</v>
      </c>
      <c r="Q41" s="57">
        <v>1819</v>
      </c>
      <c r="R41" s="57">
        <v>3893</v>
      </c>
      <c r="S41" s="57">
        <v>4323</v>
      </c>
      <c r="T41" s="106">
        <v>5962</v>
      </c>
    </row>
    <row r="42" spans="1:20" ht="16.5" customHeight="1">
      <c r="A42" s="24" t="s">
        <v>35</v>
      </c>
      <c r="B42" s="57">
        <v>3216</v>
      </c>
      <c r="C42" s="57">
        <v>6324</v>
      </c>
      <c r="D42" s="57">
        <v>9740</v>
      </c>
      <c r="E42" s="57">
        <v>13958</v>
      </c>
      <c r="F42" s="57">
        <v>21728</v>
      </c>
      <c r="G42" s="57">
        <v>28753</v>
      </c>
      <c r="H42" s="57">
        <v>28789</v>
      </c>
      <c r="I42" s="57">
        <v>31989</v>
      </c>
      <c r="J42" s="57">
        <v>36157</v>
      </c>
      <c r="K42" s="57">
        <v>43743</v>
      </c>
      <c r="L42" s="57">
        <v>44829</v>
      </c>
      <c r="M42" s="57">
        <v>41724</v>
      </c>
      <c r="N42" s="57">
        <v>33993</v>
      </c>
      <c r="O42" s="57">
        <v>32002</v>
      </c>
      <c r="P42" s="57">
        <v>30863</v>
      </c>
      <c r="Q42" s="57">
        <v>30908</v>
      </c>
      <c r="R42" s="57">
        <v>31195</v>
      </c>
      <c r="S42" s="57">
        <v>29850</v>
      </c>
      <c r="T42" s="106">
        <v>26085</v>
      </c>
    </row>
    <row r="43" spans="1:20" ht="16.5" customHeight="1">
      <c r="A43" s="24" t="s">
        <v>42</v>
      </c>
      <c r="B43" s="57">
        <v>0</v>
      </c>
      <c r="C43" s="57">
        <v>0</v>
      </c>
      <c r="D43" s="57">
        <v>2286</v>
      </c>
      <c r="E43" s="57">
        <v>2391</v>
      </c>
      <c r="F43" s="57">
        <v>1217</v>
      </c>
      <c r="G43" s="57">
        <v>734</v>
      </c>
      <c r="H43" s="57">
        <v>195</v>
      </c>
      <c r="I43" s="57">
        <v>233</v>
      </c>
      <c r="J43" s="57">
        <v>185</v>
      </c>
      <c r="K43" s="57">
        <v>340</v>
      </c>
      <c r="L43" s="57">
        <v>1212</v>
      </c>
      <c r="M43" s="57">
        <v>1814</v>
      </c>
      <c r="N43" s="57">
        <v>1999</v>
      </c>
      <c r="O43" s="57">
        <v>1813</v>
      </c>
      <c r="P43" s="57">
        <v>1175</v>
      </c>
      <c r="Q43" s="57">
        <v>93</v>
      </c>
      <c r="R43" s="57">
        <v>207</v>
      </c>
      <c r="S43" s="57">
        <v>218</v>
      </c>
      <c r="T43" s="106">
        <v>257</v>
      </c>
    </row>
    <row r="44" spans="1:20" ht="16.5" customHeight="1">
      <c r="A44" s="110" t="s">
        <v>44</v>
      </c>
      <c r="B44" s="58">
        <v>414</v>
      </c>
      <c r="C44" s="58">
        <v>559</v>
      </c>
      <c r="D44" s="58">
        <v>834</v>
      </c>
      <c r="E44" s="58">
        <v>1943</v>
      </c>
      <c r="F44" s="58">
        <v>3381</v>
      </c>
      <c r="G44" s="58">
        <v>4333</v>
      </c>
      <c r="H44" s="58">
        <v>5114</v>
      </c>
      <c r="I44" s="58">
        <v>5893</v>
      </c>
      <c r="J44" s="58">
        <v>8320</v>
      </c>
      <c r="K44" s="58">
        <v>10445</v>
      </c>
      <c r="L44" s="58">
        <v>11185</v>
      </c>
      <c r="M44" s="58">
        <v>9257</v>
      </c>
      <c r="N44" s="58">
        <v>13132</v>
      </c>
      <c r="O44" s="58">
        <v>13372</v>
      </c>
      <c r="P44" s="58">
        <v>14149</v>
      </c>
      <c r="Q44" s="58">
        <v>14438</v>
      </c>
      <c r="R44" s="58">
        <v>15147</v>
      </c>
      <c r="S44" s="103">
        <v>17542</v>
      </c>
      <c r="T44" s="101">
        <v>22130</v>
      </c>
    </row>
    <row r="45" spans="1:20" ht="27" customHeight="1">
      <c r="A45" s="99" t="s">
        <v>23</v>
      </c>
      <c r="B45" s="57">
        <v>414</v>
      </c>
      <c r="C45" s="57">
        <v>559</v>
      </c>
      <c r="D45" s="57">
        <v>834</v>
      </c>
      <c r="E45" s="57">
        <v>1943</v>
      </c>
      <c r="F45" s="57">
        <v>3381</v>
      </c>
      <c r="G45" s="57">
        <v>4333</v>
      </c>
      <c r="H45" s="57">
        <v>5114</v>
      </c>
      <c r="I45" s="57">
        <v>5893</v>
      </c>
      <c r="J45" s="57">
        <v>8320</v>
      </c>
      <c r="K45" s="57">
        <v>10445</v>
      </c>
      <c r="L45" s="57">
        <v>11185</v>
      </c>
      <c r="M45" s="57">
        <v>9257</v>
      </c>
      <c r="N45" s="57">
        <v>8276</v>
      </c>
      <c r="O45" s="57">
        <v>8348</v>
      </c>
      <c r="P45" s="57">
        <v>9278</v>
      </c>
      <c r="Q45" s="57">
        <v>9008</v>
      </c>
      <c r="R45" s="57">
        <v>10035</v>
      </c>
      <c r="S45" s="57">
        <v>12082</v>
      </c>
      <c r="T45" s="106">
        <v>15736</v>
      </c>
    </row>
    <row r="46" spans="1:20" ht="16.5" customHeight="1">
      <c r="A46" s="100" t="s">
        <v>24</v>
      </c>
      <c r="B46" s="57">
        <v>414</v>
      </c>
      <c r="C46" s="57">
        <v>559</v>
      </c>
      <c r="D46" s="57">
        <v>834</v>
      </c>
      <c r="E46" s="57">
        <v>1943</v>
      </c>
      <c r="F46" s="57">
        <v>3381</v>
      </c>
      <c r="G46" s="57">
        <v>4333</v>
      </c>
      <c r="H46" s="57">
        <v>5114</v>
      </c>
      <c r="I46" s="57">
        <v>5893</v>
      </c>
      <c r="J46" s="57">
        <v>7120</v>
      </c>
      <c r="K46" s="57">
        <v>8893</v>
      </c>
      <c r="L46" s="57">
        <v>8843</v>
      </c>
      <c r="M46" s="57">
        <v>8068</v>
      </c>
      <c r="N46" s="57">
        <v>7219</v>
      </c>
      <c r="O46" s="57">
        <v>7281</v>
      </c>
      <c r="P46" s="57">
        <v>7526</v>
      </c>
      <c r="Q46" s="57">
        <v>7107</v>
      </c>
      <c r="R46" s="57">
        <v>8291</v>
      </c>
      <c r="S46" s="57">
        <v>9910</v>
      </c>
      <c r="T46" s="106">
        <v>13191</v>
      </c>
    </row>
    <row r="47" spans="1:20" ht="16.5" customHeight="1">
      <c r="A47" s="100" t="s">
        <v>25</v>
      </c>
      <c r="B47" s="56">
        <v>0</v>
      </c>
      <c r="C47" s="56">
        <v>0</v>
      </c>
      <c r="D47" s="56">
        <v>0</v>
      </c>
      <c r="E47" s="56">
        <v>0</v>
      </c>
      <c r="F47" s="56">
        <v>0</v>
      </c>
      <c r="G47" s="56">
        <v>0</v>
      </c>
      <c r="H47" s="56">
        <v>0</v>
      </c>
      <c r="I47" s="56">
        <v>0</v>
      </c>
      <c r="J47" s="56">
        <v>1200</v>
      </c>
      <c r="K47" s="56">
        <v>1552</v>
      </c>
      <c r="L47" s="56">
        <v>2342</v>
      </c>
      <c r="M47" s="56">
        <v>1189</v>
      </c>
      <c r="N47" s="56">
        <v>1057</v>
      </c>
      <c r="O47" s="56">
        <v>1067</v>
      </c>
      <c r="P47" s="56">
        <v>1752</v>
      </c>
      <c r="Q47" s="56">
        <v>1901</v>
      </c>
      <c r="R47" s="56">
        <v>1744</v>
      </c>
      <c r="S47" s="56">
        <v>2172</v>
      </c>
      <c r="T47" s="105">
        <v>2545</v>
      </c>
    </row>
    <row r="48" spans="1:20" s="14" customFormat="1" ht="36" customHeight="1">
      <c r="A48" s="99" t="s">
        <v>26</v>
      </c>
      <c r="B48" s="57">
        <v>0</v>
      </c>
      <c r="C48" s="57">
        <v>0</v>
      </c>
      <c r="D48" s="57">
        <v>0</v>
      </c>
      <c r="E48" s="57">
        <v>0</v>
      </c>
      <c r="F48" s="57">
        <v>0</v>
      </c>
      <c r="G48" s="57">
        <v>0</v>
      </c>
      <c r="H48" s="57">
        <v>0</v>
      </c>
      <c r="I48" s="57">
        <v>0</v>
      </c>
      <c r="J48" s="57">
        <v>0</v>
      </c>
      <c r="K48" s="57">
        <v>0</v>
      </c>
      <c r="L48" s="57">
        <v>0</v>
      </c>
      <c r="M48" s="57">
        <v>0</v>
      </c>
      <c r="N48" s="57">
        <v>121</v>
      </c>
      <c r="O48" s="57">
        <v>127</v>
      </c>
      <c r="P48" s="57">
        <v>133</v>
      </c>
      <c r="Q48" s="57">
        <v>137</v>
      </c>
      <c r="R48" s="57">
        <v>142</v>
      </c>
      <c r="S48" s="57">
        <v>100</v>
      </c>
      <c r="T48" s="106">
        <v>175</v>
      </c>
    </row>
    <row r="49" spans="1:61" s="14" customFormat="1" ht="27" customHeight="1">
      <c r="A49" s="99" t="s">
        <v>27</v>
      </c>
      <c r="B49" s="57">
        <v>0</v>
      </c>
      <c r="C49" s="57">
        <v>0</v>
      </c>
      <c r="D49" s="57">
        <v>0</v>
      </c>
      <c r="E49" s="57">
        <v>0</v>
      </c>
      <c r="F49" s="57">
        <v>0</v>
      </c>
      <c r="G49" s="57">
        <v>0</v>
      </c>
      <c r="H49" s="57">
        <v>0</v>
      </c>
      <c r="I49" s="57">
        <v>0</v>
      </c>
      <c r="J49" s="57">
        <v>0</v>
      </c>
      <c r="K49" s="57">
        <v>0</v>
      </c>
      <c r="L49" s="57">
        <v>0</v>
      </c>
      <c r="M49" s="57">
        <v>0</v>
      </c>
      <c r="N49" s="57">
        <v>4735</v>
      </c>
      <c r="O49" s="57">
        <v>4897</v>
      </c>
      <c r="P49" s="57">
        <v>4738</v>
      </c>
      <c r="Q49" s="57">
        <v>5293</v>
      </c>
      <c r="R49" s="57">
        <v>4970</v>
      </c>
      <c r="S49" s="57">
        <v>5360</v>
      </c>
      <c r="T49" s="106">
        <v>6219</v>
      </c>
    </row>
    <row r="50" spans="1:61" ht="16.5" customHeight="1">
      <c r="A50" s="112" t="s">
        <v>45</v>
      </c>
      <c r="B50" s="59">
        <v>23811</v>
      </c>
      <c r="C50" s="59">
        <v>30647</v>
      </c>
      <c r="D50" s="59">
        <v>39619</v>
      </c>
      <c r="E50" s="59">
        <v>54512</v>
      </c>
      <c r="F50" s="59">
        <v>80257</v>
      </c>
      <c r="G50" s="59">
        <v>101743</v>
      </c>
      <c r="H50" s="59">
        <v>103432</v>
      </c>
      <c r="I50" s="59">
        <v>117346</v>
      </c>
      <c r="J50" s="59">
        <v>126236</v>
      </c>
      <c r="K50" s="59">
        <v>134625</v>
      </c>
      <c r="L50" s="59">
        <v>142079</v>
      </c>
      <c r="M50" s="59">
        <v>125297</v>
      </c>
      <c r="N50" s="59">
        <v>117668</v>
      </c>
      <c r="O50" s="59">
        <v>112524</v>
      </c>
      <c r="P50" s="59">
        <v>115451</v>
      </c>
      <c r="Q50" s="59">
        <v>114710</v>
      </c>
      <c r="R50" s="59">
        <v>121739</v>
      </c>
      <c r="S50" s="104">
        <v>125682</v>
      </c>
      <c r="T50" s="102">
        <v>129711</v>
      </c>
    </row>
    <row r="51" spans="1:61" s="54" customFormat="1" ht="16.5" customHeight="1">
      <c r="A51" s="26" t="s">
        <v>46</v>
      </c>
      <c r="B51" s="56"/>
      <c r="C51" s="56"/>
      <c r="D51" s="56"/>
      <c r="E51" s="56"/>
      <c r="F51" s="56"/>
      <c r="G51" s="56"/>
      <c r="H51" s="56"/>
      <c r="I51" s="56"/>
      <c r="J51" s="56"/>
      <c r="K51" s="56"/>
      <c r="L51" s="56"/>
      <c r="M51" s="56"/>
      <c r="N51" s="56"/>
      <c r="O51" s="56"/>
      <c r="P51" s="56"/>
      <c r="Q51" s="56"/>
      <c r="R51" s="56"/>
      <c r="S51" s="56"/>
      <c r="T51" s="105"/>
      <c r="U51" s="14"/>
      <c r="V51" s="14"/>
      <c r="W51" s="14"/>
      <c r="X51" s="14"/>
      <c r="Y51" s="14"/>
      <c r="Z51" s="14"/>
      <c r="AA51" s="14"/>
      <c r="AT51" s="14"/>
      <c r="AU51" s="14"/>
      <c r="AV51" s="14"/>
      <c r="AW51" s="14"/>
      <c r="AX51" s="14"/>
      <c r="AY51" s="14"/>
      <c r="AZ51" s="14"/>
      <c r="BA51" s="14"/>
      <c r="BB51" s="14"/>
      <c r="BC51" s="14"/>
      <c r="BD51" s="14"/>
      <c r="BE51" s="14"/>
      <c r="BF51" s="14"/>
      <c r="BG51" s="14"/>
      <c r="BH51" s="14"/>
      <c r="BI51" s="14"/>
    </row>
    <row r="52" spans="1:61" s="54" customFormat="1" ht="22.8">
      <c r="A52" s="113" t="s">
        <v>47</v>
      </c>
      <c r="B52" s="60">
        <v>352</v>
      </c>
      <c r="C52" s="60">
        <v>419</v>
      </c>
      <c r="D52" s="60">
        <v>356</v>
      </c>
      <c r="E52" s="60">
        <v>383</v>
      </c>
      <c r="F52" s="60">
        <v>442</v>
      </c>
      <c r="G52" s="60">
        <v>981</v>
      </c>
      <c r="H52" s="60">
        <v>2865</v>
      </c>
      <c r="I52" s="60">
        <v>4827</v>
      </c>
      <c r="J52" s="60">
        <v>5690</v>
      </c>
      <c r="K52" s="60">
        <v>7400</v>
      </c>
      <c r="L52" s="60">
        <v>6399</v>
      </c>
      <c r="M52" s="60">
        <v>9827</v>
      </c>
      <c r="N52" s="60">
        <v>12989</v>
      </c>
      <c r="O52" s="60">
        <v>19940</v>
      </c>
      <c r="P52" s="60">
        <v>21169</v>
      </c>
      <c r="Q52" s="60">
        <v>23357</v>
      </c>
      <c r="R52" s="60">
        <v>22468</v>
      </c>
      <c r="S52" s="60">
        <v>23450</v>
      </c>
      <c r="T52" s="107">
        <v>22976</v>
      </c>
      <c r="U52" s="14"/>
      <c r="V52" s="14"/>
      <c r="W52" s="14"/>
      <c r="X52" s="14"/>
      <c r="Y52" s="14"/>
      <c r="Z52" s="14"/>
      <c r="AA52" s="14"/>
      <c r="AT52" s="14"/>
      <c r="AU52" s="14"/>
      <c r="AV52" s="14"/>
      <c r="AW52" s="14"/>
      <c r="AX52" s="14"/>
      <c r="AY52" s="14"/>
      <c r="AZ52" s="14"/>
      <c r="BA52" s="14"/>
      <c r="BB52" s="14"/>
      <c r="BC52" s="14"/>
      <c r="BD52" s="14"/>
      <c r="BE52" s="14"/>
      <c r="BF52" s="14"/>
      <c r="BG52" s="14"/>
      <c r="BH52" s="14"/>
      <c r="BI52" s="14"/>
    </row>
    <row r="53" spans="1:61" ht="21" customHeight="1">
      <c r="A53" s="12" t="s">
        <v>48</v>
      </c>
      <c r="B53" s="12"/>
      <c r="C53" s="12"/>
      <c r="D53" s="12"/>
      <c r="E53" s="12"/>
      <c r="F53" s="13"/>
      <c r="G53" s="14"/>
      <c r="H53" s="14"/>
      <c r="I53" s="14"/>
      <c r="J53" s="14"/>
      <c r="K53" s="14"/>
      <c r="L53" s="14"/>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row>
    <row r="54" spans="1:61" ht="12" customHeight="1">
      <c r="A54" s="153" t="s">
        <v>49</v>
      </c>
      <c r="B54" s="153"/>
      <c r="C54" s="153"/>
      <c r="D54" s="153"/>
      <c r="E54" s="153"/>
      <c r="F54" s="153"/>
      <c r="G54" s="153"/>
      <c r="H54" s="153"/>
      <c r="I54" s="153"/>
      <c r="J54" s="153"/>
      <c r="K54" s="153"/>
      <c r="L54" s="153"/>
      <c r="M54" s="153"/>
      <c r="N54" s="153"/>
      <c r="O54" s="153"/>
      <c r="P54" s="153"/>
      <c r="Q54" s="153"/>
      <c r="R54" s="153"/>
      <c r="S54" s="153"/>
      <c r="T54" s="153"/>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row>
    <row r="55" spans="1:61" ht="12" customHeight="1">
      <c r="A55" s="114" t="s">
        <v>50</v>
      </c>
    </row>
    <row r="56" spans="1:61">
      <c r="A56" s="152"/>
      <c r="B56" s="152"/>
      <c r="C56" s="152"/>
      <c r="D56" s="152"/>
      <c r="E56" s="152"/>
      <c r="F56" s="152"/>
      <c r="G56" s="152"/>
      <c r="H56" s="152"/>
      <c r="I56" s="152"/>
      <c r="J56" s="152"/>
      <c r="K56" s="152"/>
      <c r="L56" s="152"/>
      <c r="M56" s="152"/>
      <c r="N56" s="152"/>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row>
  </sheetData>
  <sheetProtection formatCells="0" formatColumns="0" formatRows="0" insertColumns="0" insertRows="0" insertHyperlinks="0" deleteColumns="0" deleteRows="0" sort="0" autoFilter="0" pivotTables="0"/>
  <mergeCells count="4">
    <mergeCell ref="A2:S2"/>
    <mergeCell ref="A56:N56"/>
    <mergeCell ref="A3:S3"/>
    <mergeCell ref="A54:T54"/>
  </mergeCells>
  <phoneticPr fontId="0" type="noConversion"/>
  <pageMargins left="0.23622047244094491" right="7.874015748031496E-2" top="0.27" bottom="0.15748031496062992" header="0.15748031496062992" footer="0.15748031496062992"/>
  <pageSetup paperSize="9" scale="63" orientation="landscape" r:id="rId1"/>
  <headerFooter alignWithMargins="0">
    <oddHeader>&amp;RНаціональний банк України</oddHeader>
    <oddFooter>&amp;RДепартамент статистики та звітності, Управління статистики зовнішнього сектору</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1"/>
  <sheetViews>
    <sheetView topLeftCell="A13" zoomScaleNormal="100" workbookViewId="0">
      <selection activeCell="B22" sqref="B2:H22"/>
    </sheetView>
  </sheetViews>
  <sheetFormatPr defaultColWidth="9.33203125" defaultRowHeight="11.4"/>
  <cols>
    <col min="1" max="1" width="9.33203125" style="3"/>
    <col min="2" max="2" width="47.33203125" style="3" customWidth="1"/>
    <col min="3" max="4" width="12.6640625" style="3" customWidth="1"/>
    <col min="5" max="5" width="14.33203125" style="3" customWidth="1"/>
    <col min="6" max="8" width="12.6640625" style="3" customWidth="1"/>
    <col min="9" max="16384" width="9.33203125" style="3"/>
  </cols>
  <sheetData>
    <row r="1" spans="1:10">
      <c r="A1" s="27"/>
      <c r="B1" s="28"/>
      <c r="C1" s="28"/>
      <c r="D1" s="28"/>
      <c r="E1" s="28"/>
      <c r="F1" s="28"/>
      <c r="G1" s="28"/>
      <c r="H1" s="28"/>
      <c r="I1" s="29"/>
    </row>
    <row r="2" spans="1:10" ht="19.5" customHeight="1">
      <c r="A2" s="29"/>
      <c r="B2" s="151" t="str">
        <f>IF('1'!$A$1=1,"Валютна  структура  зовнішнього  боргу  України","Currency  breakdown  of  Gross  External  Debt  of  Ukraine")</f>
        <v>Валютна  структура  зовнішнього  боргу  України</v>
      </c>
      <c r="C2" s="151"/>
      <c r="D2" s="151"/>
      <c r="E2" s="151"/>
      <c r="F2" s="151"/>
      <c r="G2" s="151"/>
      <c r="H2" s="151"/>
      <c r="I2" s="5"/>
    </row>
    <row r="3" spans="1:10" ht="19.5" customHeight="1">
      <c r="A3" s="29"/>
      <c r="B3" s="151" t="str">
        <f>IF('1'!$A$1=1,"за станом на 31.12.2021 р.","as of 31-th december 2021")</f>
        <v>за станом на 31.12.2021 р.</v>
      </c>
      <c r="C3" s="151"/>
      <c r="D3" s="151"/>
      <c r="E3" s="151"/>
      <c r="F3" s="151"/>
      <c r="G3" s="151"/>
      <c r="H3" s="151"/>
      <c r="I3" s="30"/>
    </row>
    <row r="4" spans="1:10" ht="19.5" customHeight="1">
      <c r="A4" s="29"/>
      <c r="B4" s="154" t="str">
        <f>IF('1'!$A$1=1,"за початковим терміном до погашення у розрізі секторів економіки","    ")</f>
        <v>за початковим терміном до погашення у розрізі секторів економіки</v>
      </c>
      <c r="C4" s="154"/>
      <c r="D4" s="154"/>
      <c r="E4" s="154"/>
      <c r="F4" s="154"/>
      <c r="G4" s="154"/>
      <c r="H4" s="154"/>
      <c r="I4" s="29"/>
    </row>
    <row r="5" spans="1:10" ht="18.75" customHeight="1">
      <c r="A5" s="29"/>
      <c r="B5" s="31"/>
      <c r="C5" s="31"/>
      <c r="D5" s="31"/>
      <c r="E5" s="31"/>
      <c r="F5" s="31"/>
      <c r="G5" s="31"/>
      <c r="H5" s="32" t="str">
        <f>IF('1'!$A$1=1,"У відсотках","bу %")</f>
        <v>У відсотках</v>
      </c>
      <c r="I5" s="29"/>
    </row>
    <row r="6" spans="1:10" ht="47.25" customHeight="1">
      <c r="A6" s="29"/>
      <c r="B6" s="33"/>
      <c r="C6" s="34" t="str">
        <f>IF('1'!$A$1=1,"Долар США","USD")</f>
        <v>Долар США</v>
      </c>
      <c r="D6" s="34" t="str">
        <f>IF('1'!$A$1=1,"ЄВРО","EUR")</f>
        <v>ЄВРО</v>
      </c>
      <c r="E6" s="35" t="str">
        <f>IF('1'!$A$1=1,"Спеціальні права запозичення","XDR")</f>
        <v>Спеціальні права запозичення</v>
      </c>
      <c r="F6" s="35" t="str">
        <f>IF('1'!$A$1=1,"Російський рубль","RUB")</f>
        <v>Російський рубль</v>
      </c>
      <c r="G6" s="36" t="str">
        <f>IF('1'!$A$1=1,"Українська гривня","UAH")</f>
        <v>Українська гривня</v>
      </c>
      <c r="H6" s="35" t="str">
        <f>IF('1'!$A$1=1,"Інші","Other")</f>
        <v>Інші</v>
      </c>
      <c r="I6" s="29"/>
    </row>
    <row r="7" spans="1:10" ht="30" customHeight="1">
      <c r="A7" s="29"/>
      <c r="B7" s="39" t="str">
        <f>IF('1'!$A$1=1,"Сектор загального державного управління","General Government")</f>
        <v>Сектор загального державного управління</v>
      </c>
      <c r="C7" s="40">
        <v>52.7</v>
      </c>
      <c r="D7" s="40">
        <v>22.6</v>
      </c>
      <c r="E7" s="40">
        <v>17.100000000000001</v>
      </c>
      <c r="F7" s="40">
        <v>0</v>
      </c>
      <c r="G7" s="40">
        <v>6.6</v>
      </c>
      <c r="H7" s="40">
        <v>1</v>
      </c>
      <c r="I7" s="29"/>
      <c r="J7" s="37"/>
    </row>
    <row r="8" spans="1:10" ht="30" customHeight="1">
      <c r="A8" s="29"/>
      <c r="B8" s="41" t="str">
        <f>IF('1'!$A$1=1,"  Короткострокові","Short-term")</f>
        <v xml:space="preserve">  Короткострокові</v>
      </c>
      <c r="C8" s="42">
        <v>7.3</v>
      </c>
      <c r="D8" s="42">
        <v>0.3</v>
      </c>
      <c r="E8" s="42">
        <v>0</v>
      </c>
      <c r="F8" s="42">
        <v>0</v>
      </c>
      <c r="G8" s="42">
        <v>92.399999999999991</v>
      </c>
      <c r="H8" s="42">
        <v>0</v>
      </c>
      <c r="I8" s="29"/>
    </row>
    <row r="9" spans="1:10" ht="30" customHeight="1">
      <c r="A9" s="29"/>
      <c r="B9" s="41" t="str">
        <f>IF('1'!$A$1=1,"  Довгострокові","Long-term")</f>
        <v xml:space="preserve">  Довгострокові</v>
      </c>
      <c r="C9" s="42">
        <v>52.7</v>
      </c>
      <c r="D9" s="42">
        <v>22.6</v>
      </c>
      <c r="E9" s="42">
        <v>17.100000000000001</v>
      </c>
      <c r="F9" s="42">
        <v>0</v>
      </c>
      <c r="G9" s="42">
        <v>6.5</v>
      </c>
      <c r="H9" s="42">
        <v>1.1000000000000001</v>
      </c>
      <c r="I9" s="29"/>
      <c r="J9" s="37"/>
    </row>
    <row r="10" spans="1:10" ht="30" customHeight="1">
      <c r="A10" s="29"/>
      <c r="B10" s="39" t="str">
        <f>IF('1'!$A$1=1,"Центральний банк","Central Bank")</f>
        <v>Центральний банк</v>
      </c>
      <c r="C10" s="40">
        <v>1.7</v>
      </c>
      <c r="D10" s="40">
        <v>0</v>
      </c>
      <c r="E10" s="40">
        <v>98.3</v>
      </c>
      <c r="F10" s="40">
        <v>0</v>
      </c>
      <c r="G10" s="40">
        <v>0</v>
      </c>
      <c r="H10" s="40">
        <v>0</v>
      </c>
      <c r="I10" s="29"/>
      <c r="J10" s="37"/>
    </row>
    <row r="11" spans="1:10" ht="30" customHeight="1">
      <c r="A11" s="29"/>
      <c r="B11" s="41" t="str">
        <f>IF('1'!$A$1=1,"  Короткострокові","Short-term")</f>
        <v xml:space="preserve">  Короткострокові</v>
      </c>
      <c r="C11" s="42">
        <v>0</v>
      </c>
      <c r="D11" s="42">
        <v>0</v>
      </c>
      <c r="E11" s="42">
        <v>0</v>
      </c>
      <c r="F11" s="42">
        <v>0</v>
      </c>
      <c r="G11" s="42">
        <v>0</v>
      </c>
      <c r="H11" s="42">
        <v>0</v>
      </c>
      <c r="I11" s="29"/>
    </row>
    <row r="12" spans="1:10" ht="30" customHeight="1">
      <c r="A12" s="38"/>
      <c r="B12" s="41" t="str">
        <f>IF('1'!$A$1=1,"  Довгострокові","Long-term")</f>
        <v xml:space="preserve">  Довгострокові</v>
      </c>
      <c r="C12" s="42">
        <v>1.7</v>
      </c>
      <c r="D12" s="42">
        <v>0</v>
      </c>
      <c r="E12" s="42">
        <v>98.3</v>
      </c>
      <c r="F12" s="42">
        <v>0</v>
      </c>
      <c r="G12" s="42">
        <v>0</v>
      </c>
      <c r="H12" s="42">
        <v>0</v>
      </c>
      <c r="I12" s="38"/>
    </row>
    <row r="13" spans="1:10" ht="30" customHeight="1">
      <c r="A13" s="29"/>
      <c r="B13" s="39" t="str">
        <f>IF('1'!$A$1=1,"Інші депозитні корпорації","Deposit-Taking Corporations")</f>
        <v>Інші депозитні корпорації</v>
      </c>
      <c r="C13" s="40">
        <v>53.7</v>
      </c>
      <c r="D13" s="40">
        <v>26.8</v>
      </c>
      <c r="E13" s="40">
        <v>0</v>
      </c>
      <c r="F13" s="42">
        <v>0</v>
      </c>
      <c r="G13" s="40">
        <v>19.100000000000001</v>
      </c>
      <c r="H13" s="40">
        <v>0.4</v>
      </c>
      <c r="I13" s="29"/>
    </row>
    <row r="14" spans="1:10" ht="30" customHeight="1">
      <c r="A14" s="29"/>
      <c r="B14" s="41" t="str">
        <f>IF('1'!$A$1=1,"  Короткострокові","Short-term")</f>
        <v xml:space="preserve">  Короткострокові</v>
      </c>
      <c r="C14" s="42">
        <v>56.2</v>
      </c>
      <c r="D14" s="42">
        <v>15.5</v>
      </c>
      <c r="E14" s="42">
        <v>0</v>
      </c>
      <c r="F14" s="42">
        <v>0</v>
      </c>
      <c r="G14" s="42">
        <v>27.4</v>
      </c>
      <c r="H14" s="42">
        <v>0.9</v>
      </c>
      <c r="I14" s="29"/>
    </row>
    <row r="15" spans="1:10" ht="30" customHeight="1">
      <c r="A15" s="29"/>
      <c r="B15" s="41" t="str">
        <f>IF('1'!$A$1=1,"  Довгострокові","Long-term")</f>
        <v xml:space="preserve">  Довгострокові</v>
      </c>
      <c r="C15" s="42">
        <v>51.699999999999996</v>
      </c>
      <c r="D15" s="42">
        <v>35.4</v>
      </c>
      <c r="E15" s="42">
        <v>0</v>
      </c>
      <c r="F15" s="42">
        <v>0</v>
      </c>
      <c r="G15" s="42">
        <v>12.9</v>
      </c>
      <c r="H15" s="42">
        <v>0</v>
      </c>
      <c r="I15" s="29"/>
    </row>
    <row r="16" spans="1:10" ht="30" customHeight="1">
      <c r="A16" s="29"/>
      <c r="B16" s="39" t="str">
        <f>IF('1'!$A$1=1,"Інші сектори","Other Sectors")</f>
        <v>Інші сектори</v>
      </c>
      <c r="C16" s="40">
        <v>73.900000000000006</v>
      </c>
      <c r="D16" s="40">
        <v>24</v>
      </c>
      <c r="E16" s="40">
        <v>0</v>
      </c>
      <c r="F16" s="40">
        <v>1.2</v>
      </c>
      <c r="G16" s="40">
        <v>0.8</v>
      </c>
      <c r="H16" s="40">
        <v>0.1</v>
      </c>
      <c r="I16" s="29"/>
    </row>
    <row r="17" spans="1:9" ht="30" customHeight="1">
      <c r="A17" s="29"/>
      <c r="B17" s="41" t="str">
        <f>IF('1'!$A$1=1,"  Короткострокові","Short-term")</f>
        <v xml:space="preserve">  Короткострокові</v>
      </c>
      <c r="C17" s="42">
        <v>62.5</v>
      </c>
      <c r="D17" s="42">
        <v>34.5</v>
      </c>
      <c r="E17" s="42">
        <v>0</v>
      </c>
      <c r="F17" s="42">
        <v>2.9</v>
      </c>
      <c r="G17" s="42">
        <v>0.1</v>
      </c>
      <c r="H17" s="42">
        <v>0</v>
      </c>
      <c r="I17" s="29"/>
    </row>
    <row r="18" spans="1:9" ht="30" customHeight="1">
      <c r="A18" s="29"/>
      <c r="B18" s="41" t="str">
        <f>IF('1'!$A$1=1,"  Довгострокові","Long-term")</f>
        <v xml:space="preserve">  Довгострокові</v>
      </c>
      <c r="C18" s="42">
        <v>79.099999999999994</v>
      </c>
      <c r="D18" s="42">
        <v>19.2</v>
      </c>
      <c r="E18" s="42">
        <v>0</v>
      </c>
      <c r="F18" s="42">
        <v>0.5</v>
      </c>
      <c r="G18" s="42">
        <v>1.1000000000000001</v>
      </c>
      <c r="H18" s="42">
        <v>0.1</v>
      </c>
      <c r="I18" s="29"/>
    </row>
    <row r="19" spans="1:9" ht="30" customHeight="1">
      <c r="A19" s="29"/>
      <c r="B19" s="39" t="str">
        <f>IF('1'!$A$1=1,"Прямі інвестиції: міжфірмовий борг ","Direct Investment: Intercompany Lending")</f>
        <v xml:space="preserve">Прямі інвестиції: міжфірмовий борг </v>
      </c>
      <c r="C19" s="40">
        <v>71.2</v>
      </c>
      <c r="D19" s="40">
        <v>27.1</v>
      </c>
      <c r="E19" s="40">
        <v>0</v>
      </c>
      <c r="F19" s="40">
        <v>1.3</v>
      </c>
      <c r="G19" s="40">
        <v>0.3</v>
      </c>
      <c r="H19" s="40">
        <v>0.1</v>
      </c>
      <c r="I19" s="29"/>
    </row>
    <row r="20" spans="1:9" ht="33.75" customHeight="1">
      <c r="A20" s="29"/>
      <c r="B20" s="43" t="str">
        <f>IF('1'!$A$1=1,"Валовий зовнішній борг"," Gross External Debt")</f>
        <v>Валовий зовнішній борг</v>
      </c>
      <c r="C20" s="44">
        <v>61.3</v>
      </c>
      <c r="D20" s="44">
        <v>23</v>
      </c>
      <c r="E20" s="44">
        <v>11.2</v>
      </c>
      <c r="F20" s="44">
        <v>0.7</v>
      </c>
      <c r="G20" s="44">
        <v>3.4</v>
      </c>
      <c r="H20" s="44">
        <v>0.4</v>
      </c>
      <c r="I20" s="29"/>
    </row>
    <row r="21" spans="1:9">
      <c r="A21" s="29"/>
      <c r="B21" s="29"/>
      <c r="C21" s="29"/>
      <c r="D21" s="29"/>
      <c r="E21" s="29"/>
      <c r="F21" s="29"/>
      <c r="G21" s="29"/>
      <c r="H21" s="29"/>
      <c r="I21" s="29"/>
    </row>
    <row r="22" spans="1:9">
      <c r="A22" s="29"/>
      <c r="B22" s="155" t="s">
        <v>62</v>
      </c>
      <c r="C22" s="155"/>
      <c r="D22" s="155"/>
      <c r="E22" s="155"/>
      <c r="F22" s="155"/>
      <c r="G22" s="155"/>
      <c r="H22" s="155"/>
      <c r="I22" s="29"/>
    </row>
    <row r="23" spans="1:9">
      <c r="A23" s="29"/>
      <c r="B23" s="29"/>
      <c r="C23" s="29"/>
      <c r="D23" s="29"/>
      <c r="E23" s="29"/>
      <c r="F23" s="29"/>
      <c r="G23" s="29"/>
      <c r="H23" s="29"/>
      <c r="I23" s="29"/>
    </row>
    <row r="24" spans="1:9">
      <c r="A24" s="29"/>
      <c r="B24" s="29"/>
      <c r="C24" s="29"/>
      <c r="D24" s="29"/>
      <c r="E24" s="29"/>
      <c r="F24" s="29"/>
      <c r="G24" s="29"/>
      <c r="H24" s="29"/>
      <c r="I24" s="29"/>
    </row>
    <row r="25" spans="1:9">
      <c r="A25" s="29"/>
      <c r="B25" s="29"/>
      <c r="C25" s="29"/>
      <c r="D25" s="29"/>
      <c r="E25" s="29"/>
      <c r="F25" s="29"/>
      <c r="G25" s="29"/>
      <c r="H25" s="29"/>
      <c r="I25" s="29"/>
    </row>
    <row r="26" spans="1:9">
      <c r="A26" s="29"/>
      <c r="B26" s="29"/>
      <c r="C26" s="29"/>
      <c r="D26" s="29"/>
      <c r="E26" s="29"/>
      <c r="F26" s="29"/>
      <c r="G26" s="29"/>
      <c r="H26" s="29"/>
      <c r="I26" s="29"/>
    </row>
    <row r="27" spans="1:9">
      <c r="A27" s="29"/>
      <c r="B27" s="29"/>
      <c r="C27" s="29"/>
      <c r="D27" s="29"/>
      <c r="E27" s="29"/>
      <c r="F27" s="29"/>
      <c r="G27" s="29"/>
      <c r="H27" s="29"/>
      <c r="I27" s="29"/>
    </row>
    <row r="28" spans="1:9">
      <c r="A28" s="29"/>
      <c r="B28" s="29"/>
      <c r="C28" s="29"/>
      <c r="D28" s="29"/>
      <c r="E28" s="29"/>
      <c r="F28" s="29"/>
      <c r="G28" s="29"/>
      <c r="H28" s="29"/>
      <c r="I28" s="29"/>
    </row>
    <row r="29" spans="1:9">
      <c r="A29" s="29"/>
      <c r="B29" s="29"/>
      <c r="C29" s="29"/>
      <c r="D29" s="29"/>
      <c r="E29" s="29"/>
      <c r="F29" s="29"/>
      <c r="G29" s="29"/>
      <c r="H29" s="29"/>
      <c r="I29" s="29"/>
    </row>
    <row r="30" spans="1:9">
      <c r="A30" s="29"/>
      <c r="B30" s="29"/>
      <c r="C30" s="29"/>
      <c r="D30" s="29"/>
      <c r="E30" s="29"/>
      <c r="F30" s="29"/>
      <c r="G30" s="29"/>
      <c r="H30" s="29"/>
      <c r="I30" s="29"/>
    </row>
    <row r="31" spans="1:9">
      <c r="A31" s="29"/>
      <c r="B31" s="29"/>
      <c r="C31" s="29"/>
      <c r="D31" s="29"/>
      <c r="E31" s="29"/>
      <c r="F31" s="29"/>
      <c r="G31" s="29"/>
      <c r="H31" s="29"/>
      <c r="I31" s="29"/>
    </row>
  </sheetData>
  <mergeCells count="4">
    <mergeCell ref="B2:H2"/>
    <mergeCell ref="B3:H3"/>
    <mergeCell ref="B4:H4"/>
    <mergeCell ref="B22:H22"/>
  </mergeCells>
  <phoneticPr fontId="0" type="noConversion"/>
  <pageMargins left="0.70866141732283472" right="0.70866141732283472" top="0.74803149606299213" bottom="0.74803149606299213" header="0.31496062992125984" footer="0.31496062992125984"/>
  <pageSetup paperSize="9" scale="71" orientation="portrait" r:id="rId1"/>
  <headerFooter>
    <oddHeader>&amp;RНаціональний банк України</oddHeader>
    <oddFooter>&amp;LДепартамент статистики та звітності, Управління статистики зовнішнього сектору</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3:E70"/>
  <sheetViews>
    <sheetView tabSelected="1" topLeftCell="A28" zoomScaleNormal="100" workbookViewId="0">
      <selection activeCell="A53" sqref="A53"/>
    </sheetView>
  </sheetViews>
  <sheetFormatPr defaultColWidth="9.33203125" defaultRowHeight="11.4"/>
  <cols>
    <col min="1" max="1" width="41.6640625" style="3" customWidth="1"/>
    <col min="2" max="4" width="16.5546875" style="3" customWidth="1"/>
    <col min="5" max="16384" width="9.33203125" style="3"/>
  </cols>
  <sheetData>
    <row r="3" spans="1:5" ht="12">
      <c r="A3" s="151" t="str">
        <f>IF('1'!$A$1=1,"Валовий зовнішній борг України: чиста позиція за секторами","Net External Debt Position of Ukraine: By Sector")</f>
        <v>Валовий зовнішній борг України: чиста позиція за секторами</v>
      </c>
      <c r="B3" s="151"/>
      <c r="C3" s="151"/>
      <c r="D3" s="151"/>
    </row>
    <row r="4" spans="1:5" ht="7.2" customHeight="1">
      <c r="A4" s="31"/>
      <c r="B4" s="31"/>
      <c r="C4" s="31"/>
      <c r="D4" s="31"/>
    </row>
    <row r="5" spans="1:5" ht="12">
      <c r="C5" s="11"/>
      <c r="D5" s="11" t="str">
        <f>IF('1'!$A$1=1,"Млн. дол. США","Millions of USD")</f>
        <v>Млн. дол. США</v>
      </c>
    </row>
    <row r="6" spans="1:5" ht="44.1" customHeight="1">
      <c r="A6" s="45" t="s">
        <v>28</v>
      </c>
      <c r="B6" s="46" t="str">
        <f>IF('1'!$A$1=1,"Валовий зовнішній борг","Gross External Debt Position")</f>
        <v>Валовий зовнішній борг</v>
      </c>
      <c r="C6" s="47" t="str">
        <f>IF('1'!$A$1=1,"Зовнішні активи за борговими інструментами","External Assets in Debt Instruments")</f>
        <v>Зовнішні активи за борговими інструментами</v>
      </c>
      <c r="D6" s="46" t="str">
        <f>IF('1'!$A$1=1,"Чистий зовнішній борг (3 = 1 - 2)","Net External Debt (3 = 1 - 2)")</f>
        <v>Чистий зовнішній борг (3 = 1 - 2)</v>
      </c>
    </row>
    <row r="7" spans="1:5" s="74" customFormat="1" ht="10.199999999999999">
      <c r="A7" s="70"/>
      <c r="B7" s="71">
        <v>1</v>
      </c>
      <c r="C7" s="72">
        <v>2</v>
      </c>
      <c r="D7" s="71">
        <v>3</v>
      </c>
      <c r="E7" s="73"/>
    </row>
    <row r="8" spans="1:5" ht="6" customHeight="1">
      <c r="A8" s="48"/>
      <c r="B8" s="48"/>
      <c r="C8" s="48"/>
      <c r="D8" s="48"/>
      <c r="E8" s="14"/>
    </row>
    <row r="9" spans="1:5" ht="12">
      <c r="A9" s="61" t="str">
        <f>IF('1'!$A$1=1," Сектор загального державного управління","General Government")</f>
        <v xml:space="preserve"> Сектор загального державного управління</v>
      </c>
      <c r="B9" s="62">
        <v>51248</v>
      </c>
      <c r="C9" s="62">
        <v>0</v>
      </c>
      <c r="D9" s="62">
        <v>51248</v>
      </c>
      <c r="E9" s="14"/>
    </row>
    <row r="10" spans="1:5" ht="17.25" customHeight="1">
      <c r="A10" s="25" t="str">
        <f>IF('1'!$A$1=1,"  Короткострокові","Short-term")</f>
        <v xml:space="preserve">  Короткострокові</v>
      </c>
      <c r="B10" s="63">
        <v>30</v>
      </c>
      <c r="C10" s="63">
        <v>0</v>
      </c>
      <c r="D10" s="63">
        <v>30</v>
      </c>
      <c r="E10" s="14"/>
    </row>
    <row r="11" spans="1:5" ht="17.25" hidden="1" customHeight="1">
      <c r="A11" s="49" t="str">
        <f>IF('1'!$A$1=1,"    Валюта і депозити","   Currency and deposits")</f>
        <v xml:space="preserve">    Валюта і депозити</v>
      </c>
      <c r="B11" s="64">
        <v>0</v>
      </c>
      <c r="C11" s="64"/>
      <c r="D11" s="64">
        <v>0</v>
      </c>
      <c r="E11" s="14"/>
    </row>
    <row r="12" spans="1:5" ht="17.25" customHeight="1">
      <c r="A12" s="25" t="str">
        <f>IF('1'!$A$1=1,"    Боргові цінні папери","   Debt securities")</f>
        <v xml:space="preserve">    Боргові цінні папери</v>
      </c>
      <c r="B12" s="63">
        <v>30</v>
      </c>
      <c r="C12" s="63">
        <v>0</v>
      </c>
      <c r="D12" s="63">
        <v>30</v>
      </c>
      <c r="E12" s="14"/>
    </row>
    <row r="13" spans="1:5" ht="17.25" hidden="1" customHeight="1">
      <c r="A13" s="50" t="str">
        <f>IF('1'!$A$1=1,"    Кредити","   Loans")</f>
        <v xml:space="preserve">    Кредити</v>
      </c>
      <c r="B13" s="65">
        <v>0</v>
      </c>
      <c r="C13" s="65"/>
      <c r="D13" s="65">
        <v>0</v>
      </c>
      <c r="E13" s="14"/>
    </row>
    <row r="14" spans="1:5" ht="17.25" hidden="1" customHeight="1">
      <c r="A14" s="49" t="str">
        <f>IF('1'!$A$1=1,"    Торгові кредити та аванси","   Trade credit and advances")</f>
        <v xml:space="preserve">    Торгові кредити та аванси</v>
      </c>
      <c r="B14" s="64">
        <v>0</v>
      </c>
      <c r="C14" s="64"/>
      <c r="D14" s="64">
        <v>0</v>
      </c>
      <c r="E14" s="14"/>
    </row>
    <row r="15" spans="1:5" ht="17.25" hidden="1" customHeight="1">
      <c r="A15" s="49" t="str">
        <f>IF('1'!$A$1=1,"    Інші боргові зобов'язання","   Other debt instruments")</f>
        <v xml:space="preserve">    Інші боргові зобов'язання</v>
      </c>
      <c r="B15" s="64">
        <v>0</v>
      </c>
      <c r="C15" s="64"/>
      <c r="D15" s="64">
        <v>0</v>
      </c>
      <c r="E15" s="14"/>
    </row>
    <row r="16" spans="1:5" ht="17.25" customHeight="1">
      <c r="A16" s="25" t="str">
        <f>IF('1'!$A$1=1," Довгострокові","Long-term")</f>
        <v xml:space="preserve"> Довгострокові</v>
      </c>
      <c r="B16" s="63">
        <v>51218</v>
      </c>
      <c r="C16" s="63">
        <v>0</v>
      </c>
      <c r="D16" s="63">
        <v>51218</v>
      </c>
      <c r="E16" s="14"/>
    </row>
    <row r="17" spans="1:5" ht="17.25" customHeight="1">
      <c r="A17" s="51" t="str">
        <f>IF('1'!$A$1=1,"    Pозподіл СПЗ","   Special drawing rights (SDRs)")</f>
        <v xml:space="preserve">    Pозподіл СПЗ</v>
      </c>
      <c r="B17" s="63">
        <v>4417</v>
      </c>
      <c r="C17" s="63">
        <v>0</v>
      </c>
      <c r="D17" s="63">
        <v>4417</v>
      </c>
      <c r="E17" s="14"/>
    </row>
    <row r="18" spans="1:5" ht="17.25" hidden="1" customHeight="1">
      <c r="A18" s="49" t="str">
        <f>IF('1'!$A$1=1,"    Валюта і депозити","   Currency and deposits")</f>
        <v xml:space="preserve">    Валюта і депозити</v>
      </c>
      <c r="B18" s="64">
        <v>0</v>
      </c>
      <c r="C18" s="64"/>
      <c r="D18" s="64">
        <v>0</v>
      </c>
      <c r="E18" s="14"/>
    </row>
    <row r="19" spans="1:5" ht="17.25" customHeight="1">
      <c r="A19" s="25" t="str">
        <f>IF('1'!$A$1=1,"    Боргові цінні папери","   Debt securities")</f>
        <v xml:space="preserve">    Боргові цінні папери</v>
      </c>
      <c r="B19" s="63">
        <v>26398</v>
      </c>
      <c r="C19" s="63">
        <v>0</v>
      </c>
      <c r="D19" s="63">
        <v>26398</v>
      </c>
      <c r="E19" s="14"/>
    </row>
    <row r="20" spans="1:5" ht="17.25" customHeight="1">
      <c r="A20" s="25" t="str">
        <f>IF('1'!$A$1=1,"    Кредити","   Loans")</f>
        <v xml:space="preserve">    Кредити</v>
      </c>
      <c r="B20" s="63">
        <v>20403</v>
      </c>
      <c r="C20" s="63">
        <v>0</v>
      </c>
      <c r="D20" s="63">
        <v>20403</v>
      </c>
      <c r="E20" s="14"/>
    </row>
    <row r="21" spans="1:5" ht="17.25" hidden="1" customHeight="1">
      <c r="A21" s="49" t="str">
        <f>IF('1'!$A$1=1,"    Торгові кредити та аванси","   Trade credit and advances")</f>
        <v xml:space="preserve">    Торгові кредити та аванси</v>
      </c>
      <c r="B21" s="64">
        <v>0</v>
      </c>
      <c r="C21" s="64"/>
      <c r="D21" s="64">
        <v>0</v>
      </c>
      <c r="E21" s="14"/>
    </row>
    <row r="22" spans="1:5" ht="17.25" hidden="1" customHeight="1">
      <c r="A22" s="49" t="str">
        <f>IF('1'!$A$1=1,"    Інші боргові зобов'язання","   Other debt instruments")</f>
        <v xml:space="preserve">    Інші боргові зобов'язання</v>
      </c>
      <c r="B22" s="64">
        <v>0</v>
      </c>
      <c r="C22" s="64"/>
      <c r="D22" s="64">
        <v>0</v>
      </c>
      <c r="E22" s="14"/>
    </row>
    <row r="23" spans="1:5" ht="6" customHeight="1">
      <c r="A23" s="52"/>
      <c r="B23" s="63"/>
      <c r="C23" s="63"/>
      <c r="D23" s="63"/>
      <c r="E23" s="14"/>
    </row>
    <row r="24" spans="1:5" ht="17.25" customHeight="1">
      <c r="A24" s="61" t="str">
        <f>IF('1'!$A$1=1,"Центральний банк","Central Bank")</f>
        <v>Центральний банк</v>
      </c>
      <c r="B24" s="62">
        <v>5825</v>
      </c>
      <c r="C24" s="62">
        <v>30150</v>
      </c>
      <c r="D24" s="62">
        <v>-24325</v>
      </c>
      <c r="E24" s="14"/>
    </row>
    <row r="25" spans="1:5" ht="17.25" customHeight="1">
      <c r="A25" s="25" t="str">
        <f>IF('1'!$A$1=1,"  Короткострокові","Short-term")</f>
        <v xml:space="preserve">  Короткострокові</v>
      </c>
      <c r="B25" s="63">
        <v>0</v>
      </c>
      <c r="C25" s="63">
        <v>767</v>
      </c>
      <c r="D25" s="63">
        <v>-767</v>
      </c>
      <c r="E25" s="14"/>
    </row>
    <row r="26" spans="1:5" ht="17.25" customHeight="1">
      <c r="A26" s="25" t="str">
        <f>IF('1'!$A$1=1,"    Валюта і депозити","   Currency and deposits")</f>
        <v xml:space="preserve">    Валюта і депозити</v>
      </c>
      <c r="B26" s="63">
        <v>0</v>
      </c>
      <c r="C26" s="63">
        <v>767</v>
      </c>
      <c r="D26" s="63">
        <v>-767</v>
      </c>
      <c r="E26" s="14"/>
    </row>
    <row r="27" spans="1:5" ht="17.25" hidden="1" customHeight="1">
      <c r="A27" s="49" t="str">
        <f>IF('1'!$A$1=1,"    Боргові цінні папери","   Debt securities")</f>
        <v xml:space="preserve">    Боргові цінні папери</v>
      </c>
      <c r="B27" s="64">
        <v>0</v>
      </c>
      <c r="C27" s="64">
        <v>0</v>
      </c>
      <c r="D27" s="64">
        <v>0</v>
      </c>
      <c r="E27" s="14"/>
    </row>
    <row r="28" spans="1:5" ht="17.25" customHeight="1">
      <c r="A28" s="25" t="str">
        <f>IF('1'!$A$1=1,"    Кредити","   Loans")</f>
        <v xml:space="preserve">    Кредити</v>
      </c>
      <c r="B28" s="63">
        <v>0</v>
      </c>
      <c r="C28" s="63">
        <v>0</v>
      </c>
      <c r="D28" s="63">
        <v>0</v>
      </c>
      <c r="E28" s="14"/>
    </row>
    <row r="29" spans="1:5" ht="17.25" hidden="1" customHeight="1">
      <c r="A29" s="49" t="str">
        <f>IF('1'!$A$1=1,"    Торгові кредити та аванси","   Trade credit and advances")</f>
        <v xml:space="preserve">    Торгові кредити та аванси</v>
      </c>
      <c r="B29" s="64">
        <v>0</v>
      </c>
      <c r="C29" s="64"/>
      <c r="D29" s="64">
        <v>0</v>
      </c>
      <c r="E29" s="14"/>
    </row>
    <row r="30" spans="1:5" ht="17.25" hidden="1" customHeight="1">
      <c r="A30" s="49" t="str">
        <f>IF('1'!$A$1=1,"    Інші боргові зобов'язання","   Other debt instruments")</f>
        <v xml:space="preserve">    Інші боргові зобов'язання</v>
      </c>
      <c r="B30" s="64">
        <v>0</v>
      </c>
      <c r="C30" s="64"/>
      <c r="D30" s="64">
        <v>0</v>
      </c>
      <c r="E30" s="14"/>
    </row>
    <row r="31" spans="1:5" ht="17.25" customHeight="1">
      <c r="A31" s="25" t="str">
        <f>IF('1'!$A$1=1," Довгострокові","Long-term")</f>
        <v xml:space="preserve"> Довгострокові</v>
      </c>
      <c r="B31" s="63">
        <v>5825</v>
      </c>
      <c r="C31" s="63">
        <v>29383</v>
      </c>
      <c r="D31" s="63">
        <v>-23558</v>
      </c>
      <c r="E31" s="14"/>
    </row>
    <row r="32" spans="1:5" ht="17.25" customHeight="1">
      <c r="A32" s="51" t="str">
        <f>IF('1'!$A$1=1,"    Pозподіл СПЗ","   Special drawing rights (SDRs)")</f>
        <v xml:space="preserve">    Pозподіл СПЗ</v>
      </c>
      <c r="B32" s="63">
        <v>114</v>
      </c>
      <c r="C32" s="63">
        <v>19</v>
      </c>
      <c r="D32" s="63">
        <v>95</v>
      </c>
      <c r="E32" s="14"/>
    </row>
    <row r="33" spans="1:5" ht="17.25" customHeight="1">
      <c r="A33" s="25" t="str">
        <f>IF('1'!$A$1=1,"    Валюта і депозити","   Currency and deposits")</f>
        <v xml:space="preserve">    Валюта і депозити</v>
      </c>
      <c r="B33" s="63">
        <v>0</v>
      </c>
      <c r="C33" s="63">
        <v>5749</v>
      </c>
      <c r="D33" s="63">
        <v>-5749</v>
      </c>
      <c r="E33" s="14"/>
    </row>
    <row r="34" spans="1:5" ht="17.25" customHeight="1">
      <c r="A34" s="25" t="str">
        <f>IF('1'!$A$1=1,"    Боргові цінні папери","   Debt securities")</f>
        <v xml:space="preserve">    Боргові цінні папери</v>
      </c>
      <c r="B34" s="63">
        <v>0</v>
      </c>
      <c r="C34" s="63">
        <v>23615</v>
      </c>
      <c r="D34" s="63">
        <v>-23615</v>
      </c>
      <c r="E34" s="14"/>
    </row>
    <row r="35" spans="1:5" ht="17.25" customHeight="1">
      <c r="A35" s="25" t="str">
        <f>IF('1'!$A$1=1,"    Кредити","   Loans")</f>
        <v xml:space="preserve">    Кредити</v>
      </c>
      <c r="B35" s="63">
        <v>5711</v>
      </c>
      <c r="C35" s="63"/>
      <c r="D35" s="63">
        <v>5711</v>
      </c>
      <c r="E35" s="14"/>
    </row>
    <row r="36" spans="1:5" ht="17.25" hidden="1" customHeight="1">
      <c r="A36" s="49" t="str">
        <f>IF('1'!$A$1=1,"    Торгові кредити та аванси","   Trade credit and advances")</f>
        <v xml:space="preserve">    Торгові кредити та аванси</v>
      </c>
      <c r="B36" s="64">
        <v>0</v>
      </c>
      <c r="C36" s="64"/>
      <c r="D36" s="64"/>
      <c r="E36" s="14"/>
    </row>
    <row r="37" spans="1:5" ht="17.25" hidden="1" customHeight="1">
      <c r="A37" s="53" t="str">
        <f>IF('1'!$A$1=1,"    Інші боргові зобов'язання","   Other debt instruments")</f>
        <v xml:space="preserve">    Інші боргові зобов'язання</v>
      </c>
      <c r="B37" s="66"/>
      <c r="C37" s="66"/>
      <c r="D37" s="66"/>
      <c r="E37" s="14"/>
    </row>
    <row r="38" spans="1:5" ht="6" customHeight="1">
      <c r="A38" s="52"/>
      <c r="B38" s="63"/>
      <c r="C38" s="63"/>
      <c r="D38" s="63"/>
      <c r="E38" s="14"/>
    </row>
    <row r="39" spans="1:5" ht="17.25" customHeight="1">
      <c r="A39" s="67" t="str">
        <f>IF('1'!$A$1=1,"Інші депозитні корпорації","Deposit-Taking Corporations, except the Central Bank")</f>
        <v>Інші депозитні корпорації</v>
      </c>
      <c r="B39" s="62">
        <v>3406</v>
      </c>
      <c r="C39" s="62">
        <v>9268</v>
      </c>
      <c r="D39" s="62">
        <v>-5862</v>
      </c>
      <c r="E39" s="14"/>
    </row>
    <row r="40" spans="1:5" ht="17.25" customHeight="1">
      <c r="A40" s="25" t="str">
        <f>IF('1'!$A$1=1,"  Короткострокові","Short-term")</f>
        <v xml:space="preserve">  Короткострокові</v>
      </c>
      <c r="B40" s="63">
        <v>1473</v>
      </c>
      <c r="C40" s="63">
        <v>8972</v>
      </c>
      <c r="D40" s="63">
        <v>-7499</v>
      </c>
      <c r="E40" s="14"/>
    </row>
    <row r="41" spans="1:5" ht="17.25" customHeight="1">
      <c r="A41" s="25" t="str">
        <f>IF('1'!$A$1=1,"    Валюта і депозити","   Currency and deposits")</f>
        <v xml:space="preserve">    Валюта і депозити</v>
      </c>
      <c r="B41" s="63">
        <v>1462</v>
      </c>
      <c r="C41" s="63">
        <v>8739</v>
      </c>
      <c r="D41" s="63">
        <v>-7277</v>
      </c>
      <c r="E41" s="14"/>
    </row>
    <row r="42" spans="1:5" ht="17.25" customHeight="1">
      <c r="A42" s="25" t="str">
        <f>IF('1'!$A$1=1,"    Боргові цінні папери","   Debt securities")</f>
        <v xml:space="preserve">    Боргові цінні папери</v>
      </c>
      <c r="B42" s="63">
        <v>4</v>
      </c>
      <c r="C42" s="63">
        <v>60</v>
      </c>
      <c r="D42" s="63">
        <v>-56</v>
      </c>
      <c r="E42" s="14"/>
    </row>
    <row r="43" spans="1:5" ht="17.25" customHeight="1">
      <c r="A43" s="25" t="str">
        <f>IF('1'!$A$1=1,"    Кредити","   Loans")</f>
        <v xml:space="preserve">    Кредити</v>
      </c>
      <c r="B43" s="63">
        <v>7</v>
      </c>
      <c r="C43" s="63">
        <v>173</v>
      </c>
      <c r="D43" s="63">
        <v>-166</v>
      </c>
      <c r="E43" s="14"/>
    </row>
    <row r="44" spans="1:5" ht="17.25" hidden="1" customHeight="1">
      <c r="A44" s="49" t="str">
        <f>IF('1'!$A$1=1,"    Торгові кредити та аванси","   Trade credit and advances")</f>
        <v xml:space="preserve">    Торгові кредити та аванси</v>
      </c>
      <c r="B44" s="64">
        <v>0</v>
      </c>
      <c r="C44" s="64"/>
      <c r="D44" s="64"/>
      <c r="E44" s="14"/>
    </row>
    <row r="45" spans="1:5" ht="17.25" hidden="1" customHeight="1">
      <c r="A45" s="49" t="str">
        <f>IF('1'!$A$1=1,"    Інші боргові зобов'язання","   Other debt instruments")</f>
        <v xml:space="preserve">    Інші боргові зобов'язання</v>
      </c>
      <c r="B45" s="64">
        <v>0</v>
      </c>
      <c r="C45" s="64"/>
      <c r="D45" s="64"/>
      <c r="E45" s="14"/>
    </row>
    <row r="46" spans="1:5" ht="17.25" customHeight="1">
      <c r="A46" s="25" t="str">
        <f>IF('1'!$A$1=1," Довгострокові","Long-term")</f>
        <v xml:space="preserve"> Довгострокові</v>
      </c>
      <c r="B46" s="63">
        <v>1933</v>
      </c>
      <c r="C46" s="63">
        <v>296</v>
      </c>
      <c r="D46" s="63">
        <v>1637</v>
      </c>
      <c r="E46" s="14"/>
    </row>
    <row r="47" spans="1:5" ht="17.25" customHeight="1">
      <c r="A47" s="25" t="str">
        <f>IF('1'!$A$1=1,"    Валюта і депозити","   Currency and deposits")</f>
        <v xml:space="preserve">    Валюта і депозити</v>
      </c>
      <c r="B47" s="63">
        <v>341</v>
      </c>
      <c r="C47" s="63">
        <v>151</v>
      </c>
      <c r="D47" s="63">
        <v>190</v>
      </c>
      <c r="E47" s="14"/>
    </row>
    <row r="48" spans="1:5" ht="17.25" customHeight="1">
      <c r="A48" s="25" t="str">
        <f>IF('1'!$A$1=1,"    Боргові цінні папери","   Debt securities")</f>
        <v xml:space="preserve">    Боргові цінні папери</v>
      </c>
      <c r="B48" s="63">
        <v>665</v>
      </c>
      <c r="C48" s="63">
        <v>121</v>
      </c>
      <c r="D48" s="63">
        <v>544</v>
      </c>
      <c r="E48" s="14"/>
    </row>
    <row r="49" spans="1:5" ht="17.25" customHeight="1">
      <c r="A49" s="25" t="str">
        <f>IF('1'!$A$1=1,"    Кредити","   Loans")</f>
        <v xml:space="preserve">    Кредити</v>
      </c>
      <c r="B49" s="63">
        <v>927</v>
      </c>
      <c r="C49" s="63">
        <v>24</v>
      </c>
      <c r="D49" s="63">
        <v>903</v>
      </c>
      <c r="E49" s="14"/>
    </row>
    <row r="50" spans="1:5" ht="18.75" hidden="1" customHeight="1">
      <c r="A50" s="49" t="str">
        <f>IF('1'!$A$1=1,"    Торгові кредити та аванси","   Trade credit and advances")</f>
        <v xml:space="preserve">    Торгові кредити та аванси</v>
      </c>
      <c r="B50" s="64">
        <v>0</v>
      </c>
      <c r="C50" s="64"/>
      <c r="D50" s="64"/>
      <c r="E50" s="14"/>
    </row>
    <row r="51" spans="1:5" ht="17.25" hidden="1" customHeight="1">
      <c r="A51" s="49" t="str">
        <f>IF('1'!$A$1=1,"    Інші боргові зобов'язання","   Other debt instruments")</f>
        <v xml:space="preserve">    Інші боргові зобов'язання</v>
      </c>
      <c r="B51" s="64">
        <v>0</v>
      </c>
      <c r="C51" s="64"/>
      <c r="D51" s="64"/>
      <c r="E51" s="14"/>
    </row>
    <row r="52" spans="1:5" ht="6" customHeight="1">
      <c r="A52" s="52"/>
      <c r="B52" s="63"/>
      <c r="C52" s="63"/>
      <c r="D52" s="63"/>
      <c r="E52" s="14"/>
    </row>
    <row r="53" spans="1:5" ht="17.25" customHeight="1">
      <c r="A53" s="67" t="str">
        <f>IF('1'!$A$1=1," Інші сектори","Others sectors")</f>
        <v xml:space="preserve"> Інші сектори</v>
      </c>
      <c r="B53" s="62">
        <v>47102</v>
      </c>
      <c r="C53" s="62">
        <v>113753</v>
      </c>
      <c r="D53" s="62">
        <v>-66651</v>
      </c>
      <c r="E53" s="14"/>
    </row>
    <row r="54" spans="1:5" ht="17.25" customHeight="1">
      <c r="A54" s="25" t="str">
        <f>IF('1'!$A$1=1,"  Короткострокові","Short-term")</f>
        <v xml:space="preserve">  Короткострокові</v>
      </c>
      <c r="B54" s="63">
        <v>14798</v>
      </c>
      <c r="C54" s="63">
        <v>113517</v>
      </c>
      <c r="D54" s="63">
        <v>-98719</v>
      </c>
      <c r="E54" s="14"/>
    </row>
    <row r="55" spans="1:5" ht="17.25" customHeight="1">
      <c r="A55" s="25" t="str">
        <f>IF('1'!$A$1=1,"    Валюта і депозити","   Currency and deposits")</f>
        <v xml:space="preserve">    Валюта і депозити</v>
      </c>
      <c r="B55" s="63">
        <v>0</v>
      </c>
      <c r="C55" s="63">
        <v>103508</v>
      </c>
      <c r="D55" s="63">
        <v>-103508</v>
      </c>
      <c r="E55" s="14"/>
    </row>
    <row r="56" spans="1:5" ht="17.25" customHeight="1">
      <c r="A56" s="25" t="str">
        <f>IF('1'!$A$1=1,"    Боргові цінні папери","   Debt securities")</f>
        <v xml:space="preserve">    Боргові цінні папери</v>
      </c>
      <c r="B56" s="63">
        <v>0</v>
      </c>
      <c r="C56" s="63">
        <v>0</v>
      </c>
      <c r="D56" s="63">
        <v>0</v>
      </c>
      <c r="E56" s="14"/>
    </row>
    <row r="57" spans="1:5" ht="17.25" customHeight="1">
      <c r="A57" s="25" t="str">
        <f>IF('1'!$A$1=1,"    Кредити","   Loans")</f>
        <v xml:space="preserve">    Кредити</v>
      </c>
      <c r="B57" s="63">
        <v>554</v>
      </c>
      <c r="C57" s="63">
        <v>0</v>
      </c>
      <c r="D57" s="63">
        <v>554</v>
      </c>
      <c r="E57" s="14"/>
    </row>
    <row r="58" spans="1:5" ht="17.25" customHeight="1">
      <c r="A58" s="25" t="str">
        <f>IF('1'!$A$1=1,"    Торгові кредити та аванси","   Trade credit and advances")</f>
        <v xml:space="preserve">    Торгові кредити та аванси</v>
      </c>
      <c r="B58" s="63">
        <v>14244</v>
      </c>
      <c r="C58" s="63">
        <v>10009</v>
      </c>
      <c r="D58" s="63">
        <v>4235</v>
      </c>
      <c r="E58" s="14"/>
    </row>
    <row r="59" spans="1:5" ht="17.25" hidden="1" customHeight="1">
      <c r="A59" s="49" t="str">
        <f>IF('1'!$A$1=1,"    Інші боргові зобов'язання","   Other debt instruments")</f>
        <v xml:space="preserve">    Інші боргові зобов'язання</v>
      </c>
      <c r="B59" s="64">
        <v>0</v>
      </c>
      <c r="C59" s="64"/>
      <c r="D59" s="64">
        <v>0</v>
      </c>
      <c r="E59" s="14"/>
    </row>
    <row r="60" spans="1:5" ht="17.25" customHeight="1">
      <c r="A60" s="25" t="str">
        <f>IF('1'!$A$1=1," Довгострокові","Long-term")</f>
        <v xml:space="preserve"> Довгострокові</v>
      </c>
      <c r="B60" s="63">
        <v>32304</v>
      </c>
      <c r="C60" s="63">
        <v>236</v>
      </c>
      <c r="D60" s="63">
        <v>32068</v>
      </c>
      <c r="E60" s="14"/>
    </row>
    <row r="61" spans="1:5" ht="17.25" hidden="1" customHeight="1">
      <c r="A61" s="49" t="str">
        <f>IF('1'!$A$1=1,"    Валюта і депозити","   Currency and deposits")</f>
        <v xml:space="preserve">    Валюта і депозити</v>
      </c>
      <c r="B61" s="64">
        <v>0</v>
      </c>
      <c r="C61" s="64">
        <v>0</v>
      </c>
      <c r="D61" s="64">
        <v>0</v>
      </c>
      <c r="E61" s="14"/>
    </row>
    <row r="62" spans="1:5" ht="17.25" customHeight="1">
      <c r="A62" s="25" t="str">
        <f>IF('1'!$A$1=1,"    Боргові цінні папери","   Debt securities")</f>
        <v xml:space="preserve">    Боргові цінні папери</v>
      </c>
      <c r="B62" s="63">
        <v>5962</v>
      </c>
      <c r="C62" s="63">
        <v>119</v>
      </c>
      <c r="D62" s="63">
        <v>5843</v>
      </c>
      <c r="E62" s="14"/>
    </row>
    <row r="63" spans="1:5" ht="17.25" customHeight="1">
      <c r="A63" s="25" t="str">
        <f>IF('1'!$A$1=1,"    Кредити","   Loans")</f>
        <v xml:space="preserve">    Кредити</v>
      </c>
      <c r="B63" s="63">
        <v>26085</v>
      </c>
      <c r="C63" s="63">
        <v>0</v>
      </c>
      <c r="D63" s="63">
        <v>26085</v>
      </c>
      <c r="E63" s="14"/>
    </row>
    <row r="64" spans="1:5" ht="17.25" customHeight="1">
      <c r="A64" s="25" t="str">
        <f>IF('1'!$A$1=1,"    Торгові кредити та аванси","   Trade credit and advances")</f>
        <v xml:space="preserve">    Торгові кредити та аванси</v>
      </c>
      <c r="B64" s="63">
        <v>257</v>
      </c>
      <c r="C64" s="63">
        <v>117</v>
      </c>
      <c r="D64" s="63">
        <v>140</v>
      </c>
      <c r="E64" s="14"/>
    </row>
    <row r="65" spans="1:5" ht="17.25" hidden="1" customHeight="1">
      <c r="A65" s="49" t="str">
        <f>IF('1'!$A$1=1,"    Інші боргові зобов'язання","   Other debt instruments")</f>
        <v xml:space="preserve">    Інші боргові зобов'язання</v>
      </c>
      <c r="B65" s="64">
        <v>0</v>
      </c>
      <c r="C65" s="64"/>
      <c r="D65" s="64">
        <v>0</v>
      </c>
      <c r="E65" s="14"/>
    </row>
    <row r="66" spans="1:5" ht="6" customHeight="1">
      <c r="A66" s="52"/>
      <c r="B66" s="63"/>
      <c r="C66" s="63"/>
      <c r="D66" s="63"/>
      <c r="E66" s="14"/>
    </row>
    <row r="67" spans="1:5" ht="17.25" customHeight="1">
      <c r="A67" s="67" t="str">
        <f>IF('1'!$A$1=1," Прямі інвестиції: міжфірмовий борг"," Direct investment: intercompany lending")</f>
        <v xml:space="preserve"> Прямі інвестиції: міжфірмовий борг</v>
      </c>
      <c r="B67" s="62">
        <v>22130</v>
      </c>
      <c r="C67" s="62">
        <v>1625</v>
      </c>
      <c r="D67" s="62">
        <v>20505</v>
      </c>
      <c r="E67" s="14"/>
    </row>
    <row r="68" spans="1:5" ht="32.25" customHeight="1">
      <c r="A68" s="68" t="str">
        <f>IF('1'!$A$1=1," Всього"," Total")</f>
        <v xml:space="preserve"> Всього</v>
      </c>
      <c r="B68" s="69">
        <v>129711</v>
      </c>
      <c r="C68" s="69">
        <v>154796</v>
      </c>
      <c r="D68" s="69">
        <v>-25085</v>
      </c>
      <c r="E68" s="14"/>
    </row>
    <row r="69" spans="1:5" ht="7.2" customHeight="1"/>
    <row r="70" spans="1:5" ht="31.8" customHeight="1">
      <c r="A70" s="155" t="s">
        <v>31</v>
      </c>
      <c r="B70" s="155"/>
      <c r="C70" s="155"/>
      <c r="D70" s="155"/>
    </row>
  </sheetData>
  <mergeCells count="2">
    <mergeCell ref="A3:D3"/>
    <mergeCell ref="A70:D70"/>
  </mergeCells>
  <pageMargins left="0.68" right="0.28999999999999998" top="0.52" bottom="0.44" header="0.31496062992125984" footer="0.18"/>
  <pageSetup paperSize="9" fitToHeight="0" orientation="portrait" r:id="rId1"/>
  <headerFooter>
    <oddHeader>&amp;R&amp;7Національний банк України</oddHeader>
    <oddFooter>&amp;L&amp;7Департамент статистики та звітності, Управління статистики зовнішнього сектору</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6"/>
  <sheetViews>
    <sheetView zoomScale="90" zoomScaleNormal="90" workbookViewId="0">
      <pane xSplit="1" ySplit="8" topLeftCell="D9" activePane="bottomRight" state="frozen"/>
      <selection activeCell="A2" sqref="A2:S53"/>
      <selection pane="topRight" activeCell="A2" sqref="A2:S53"/>
      <selection pane="bottomLeft" activeCell="A2" sqref="A2:S53"/>
      <selection pane="bottomRight" activeCell="E34" sqref="E34"/>
    </sheetView>
  </sheetViews>
  <sheetFormatPr defaultColWidth="8.6640625" defaultRowHeight="16.2" customHeight="1"/>
  <cols>
    <col min="1" max="1" width="23.33203125" style="75" bestFit="1" customWidth="1"/>
    <col min="2" max="2" width="14.33203125" style="75" customWidth="1"/>
    <col min="3" max="3" width="14.5546875" style="75" customWidth="1"/>
    <col min="4" max="5" width="14.33203125" style="75" customWidth="1"/>
    <col min="6" max="6" width="14.6640625" style="75" customWidth="1"/>
    <col min="7" max="8" width="14.33203125" style="75" customWidth="1"/>
    <col min="9" max="9" width="15.33203125" style="75" customWidth="1"/>
    <col min="10" max="11" width="14.33203125" style="75" customWidth="1"/>
    <col min="12" max="12" width="15.6640625" style="75" customWidth="1"/>
    <col min="13" max="14" width="14.33203125" style="75" customWidth="1"/>
    <col min="15" max="15" width="15.33203125" style="75" customWidth="1"/>
    <col min="16" max="16" width="14.33203125" style="75" customWidth="1"/>
    <col min="17" max="16384" width="8.6640625" style="75"/>
  </cols>
  <sheetData>
    <row r="1" spans="1:16" ht="16.2" customHeight="1">
      <c r="A1" s="156" t="s">
        <v>73</v>
      </c>
      <c r="B1" s="156"/>
      <c r="C1" s="156"/>
      <c r="D1" s="156"/>
      <c r="E1" s="156"/>
      <c r="F1" s="156"/>
      <c r="G1" s="156"/>
      <c r="H1" s="156"/>
      <c r="I1" s="156"/>
      <c r="J1" s="156"/>
      <c r="K1" s="156"/>
      <c r="L1" s="156"/>
      <c r="M1" s="156"/>
      <c r="N1" s="156"/>
      <c r="O1" s="156"/>
      <c r="P1" s="156"/>
    </row>
    <row r="2" spans="1:16" ht="16.2" customHeight="1">
      <c r="A2" s="157" t="str">
        <f>IF('1'!$A$1=1,"станом на 31.12.2021","as of 31-th december 2021")</f>
        <v>станом на 31.12.2021</v>
      </c>
      <c r="B2" s="157"/>
      <c r="C2" s="157"/>
      <c r="D2" s="157"/>
      <c r="E2" s="157"/>
      <c r="F2" s="157"/>
      <c r="G2" s="157"/>
      <c r="H2" s="157"/>
      <c r="I2" s="157"/>
      <c r="J2" s="157"/>
      <c r="K2" s="157"/>
      <c r="L2" s="157"/>
      <c r="M2" s="157"/>
      <c r="N2" s="157"/>
      <c r="O2" s="157"/>
      <c r="P2" s="157"/>
    </row>
    <row r="3" spans="1:16" ht="16.2" customHeight="1">
      <c r="A3" s="76"/>
      <c r="B3" s="76"/>
      <c r="C3" s="76"/>
      <c r="D3" s="76"/>
      <c r="E3" s="76"/>
      <c r="F3" s="76"/>
      <c r="G3" s="76"/>
      <c r="H3" s="76"/>
      <c r="I3" s="76"/>
      <c r="J3" s="76"/>
      <c r="K3" s="76"/>
      <c r="L3" s="76"/>
      <c r="M3" s="76"/>
      <c r="N3" s="76"/>
      <c r="O3" s="76"/>
      <c r="P3" s="77" t="str">
        <f>IF('1'!$A$1=1,"млн. дол. США","Millions of USD")</f>
        <v>млн. дол. США</v>
      </c>
    </row>
    <row r="4" spans="1:16" ht="16.2" customHeight="1">
      <c r="A4" s="158" t="str">
        <f>IF('1'!$A$1=1,"Країни","Countries")</f>
        <v>Країни</v>
      </c>
      <c r="B4" s="161" t="str">
        <f>IF('1'!$A$1=1,"Всього","Total")</f>
        <v>Всього</v>
      </c>
      <c r="C4" s="162" t="s">
        <v>59</v>
      </c>
      <c r="D4" s="163" t="s">
        <v>59</v>
      </c>
      <c r="E4" s="172" t="str">
        <f>IF('1'!$A$1=1,"з них:","of wich:")</f>
        <v>з них:</v>
      </c>
      <c r="F4" s="173"/>
      <c r="G4" s="173"/>
      <c r="H4" s="173"/>
      <c r="I4" s="173"/>
      <c r="J4" s="173"/>
      <c r="K4" s="80"/>
      <c r="L4" s="80"/>
      <c r="M4" s="80"/>
      <c r="N4" s="80"/>
      <c r="O4" s="80"/>
      <c r="P4" s="81"/>
    </row>
    <row r="5" spans="1:16" ht="16.2" customHeight="1">
      <c r="A5" s="159" t="s">
        <v>60</v>
      </c>
      <c r="B5" s="164" t="s">
        <v>59</v>
      </c>
      <c r="C5" s="165" t="s">
        <v>59</v>
      </c>
      <c r="D5" s="166" t="s">
        <v>59</v>
      </c>
      <c r="E5" s="170" t="s">
        <v>68</v>
      </c>
      <c r="F5" s="170"/>
      <c r="G5" s="170"/>
      <c r="H5" s="170" t="s">
        <v>69</v>
      </c>
      <c r="I5" s="170"/>
      <c r="J5" s="170"/>
      <c r="K5" s="171" t="s">
        <v>70</v>
      </c>
      <c r="L5" s="171"/>
      <c r="M5" s="171"/>
      <c r="N5" s="171"/>
      <c r="O5" s="171"/>
      <c r="P5" s="171"/>
    </row>
    <row r="6" spans="1:16" ht="16.2" customHeight="1">
      <c r="A6" s="159" t="s">
        <v>60</v>
      </c>
      <c r="B6" s="167" t="s">
        <v>59</v>
      </c>
      <c r="C6" s="168" t="s">
        <v>59</v>
      </c>
      <c r="D6" s="169" t="s">
        <v>59</v>
      </c>
      <c r="E6" s="170"/>
      <c r="F6" s="170"/>
      <c r="G6" s="170"/>
      <c r="H6" s="170"/>
      <c r="I6" s="170"/>
      <c r="J6" s="170"/>
      <c r="K6" s="170" t="s">
        <v>71</v>
      </c>
      <c r="L6" s="170"/>
      <c r="M6" s="170"/>
      <c r="N6" s="170" t="s">
        <v>72</v>
      </c>
      <c r="O6" s="170"/>
      <c r="P6" s="170"/>
    </row>
    <row r="7" spans="1:16" ht="16.2" customHeight="1">
      <c r="A7" s="160" t="s">
        <v>60</v>
      </c>
      <c r="B7" s="78" t="str">
        <f>IF('1'!$A$1=1,"Всього","Total")</f>
        <v>Всього</v>
      </c>
      <c r="C7" s="78" t="str">
        <f>IF('1'!$A$1=1,"Короткострокові","Short-term loans")</f>
        <v>Короткострокові</v>
      </c>
      <c r="D7" s="78" t="str">
        <f>IF('1'!$A$1=1,"Довгострокові","Long-term loans")</f>
        <v>Довгострокові</v>
      </c>
      <c r="E7" s="78" t="str">
        <f>IF('1'!$A$1=1,"Всього","Total")</f>
        <v>Всього</v>
      </c>
      <c r="F7" s="78" t="str">
        <f>IF('1'!$A$1=1,"Короткострокові","Short-term loans")</f>
        <v>Короткострокові</v>
      </c>
      <c r="G7" s="78" t="str">
        <f>IF('1'!$A$1=1,"Довгострокові","Long-term loans")</f>
        <v>Довгострокові</v>
      </c>
      <c r="H7" s="78" t="str">
        <f>IF('1'!$A$1=1,"Всього","Total")</f>
        <v>Всього</v>
      </c>
      <c r="I7" s="78" t="str">
        <f>IF('1'!$A$1=1,"Короткострокові","Short-term loans")</f>
        <v>Короткострокові</v>
      </c>
      <c r="J7" s="78" t="str">
        <f>IF('1'!$A$1=1,"Довгострокові","Long-term loans")</f>
        <v>Довгострокові</v>
      </c>
      <c r="K7" s="78" t="str">
        <f>IF('1'!$A$1=1,"Всього","Total")</f>
        <v>Всього</v>
      </c>
      <c r="L7" s="78" t="str">
        <f>IF('1'!$A$1=1,"Короткострокові","Short-term loans")</f>
        <v>Короткострокові</v>
      </c>
      <c r="M7" s="78" t="str">
        <f>IF('1'!$A$1=1,"Довгострокові","Long-term loans")</f>
        <v>Довгострокові</v>
      </c>
      <c r="N7" s="78" t="str">
        <f>IF('1'!$A$1=1,"Всього","Total")</f>
        <v>Всього</v>
      </c>
      <c r="O7" s="78" t="str">
        <f>IF('1'!$A$1=1,"Короткострокові","Short-term loans")</f>
        <v>Короткострокові</v>
      </c>
      <c r="P7" s="78" t="str">
        <f>IF('1'!$A$1=1,"Довгострокові","Long-term loans")</f>
        <v>Довгострокові</v>
      </c>
    </row>
    <row r="8" spans="1:16" ht="16.2" customHeight="1">
      <c r="A8" s="116" t="s">
        <v>3</v>
      </c>
      <c r="B8" s="117">
        <v>44769.42</v>
      </c>
      <c r="C8" s="118">
        <v>1696.56</v>
      </c>
      <c r="D8" s="118">
        <v>43072.86</v>
      </c>
      <c r="E8" s="119">
        <v>934</v>
      </c>
      <c r="F8" s="118">
        <v>7</v>
      </c>
      <c r="G8" s="118">
        <v>927</v>
      </c>
      <c r="H8" s="120">
        <v>43835.42</v>
      </c>
      <c r="I8" s="121">
        <v>1689.56</v>
      </c>
      <c r="J8" s="121">
        <v>42145.86</v>
      </c>
      <c r="K8" s="120">
        <v>19585.059999999998</v>
      </c>
      <c r="L8" s="121">
        <v>1135.8899999999999</v>
      </c>
      <c r="M8" s="121">
        <v>18449.169999999998</v>
      </c>
      <c r="N8" s="120">
        <v>24250.359999999997</v>
      </c>
      <c r="O8" s="121">
        <v>553.66999999999996</v>
      </c>
      <c r="P8" s="122">
        <v>23696.69</v>
      </c>
    </row>
    <row r="9" spans="1:16" ht="16.2" customHeight="1">
      <c r="A9" s="123" t="s">
        <v>4</v>
      </c>
      <c r="B9" s="124">
        <v>20429.550843903802</v>
      </c>
      <c r="C9" s="125">
        <v>577.39491790710895</v>
      </c>
      <c r="D9" s="125">
        <v>19852.155925996693</v>
      </c>
      <c r="E9" s="126">
        <v>57.783601190694398</v>
      </c>
      <c r="F9" s="125">
        <v>0</v>
      </c>
      <c r="G9" s="125">
        <v>57.783601190694398</v>
      </c>
      <c r="H9" s="127">
        <v>20371.767242713107</v>
      </c>
      <c r="I9" s="128">
        <v>577.39491790710895</v>
      </c>
      <c r="J9" s="128">
        <v>19794.372324805998</v>
      </c>
      <c r="K9" s="127">
        <v>8396.5369881020379</v>
      </c>
      <c r="L9" s="128">
        <v>279.12224902179287</v>
      </c>
      <c r="M9" s="128">
        <v>8117.4147390802573</v>
      </c>
      <c r="N9" s="127">
        <v>11975.230254610968</v>
      </c>
      <c r="O9" s="128">
        <v>298.27266888532495</v>
      </c>
      <c r="P9" s="129">
        <v>11676.957585725628</v>
      </c>
    </row>
    <row r="10" spans="1:16" ht="34.200000000000003">
      <c r="A10" s="130" t="s">
        <v>51</v>
      </c>
      <c r="B10" s="124">
        <v>5429.26771306706</v>
      </c>
      <c r="C10" s="125">
        <v>87.114529814989595</v>
      </c>
      <c r="D10" s="125">
        <v>5342.1531832520704</v>
      </c>
      <c r="E10" s="126">
        <v>314.443544074123</v>
      </c>
      <c r="F10" s="125">
        <v>0</v>
      </c>
      <c r="G10" s="125">
        <v>314.443544074123</v>
      </c>
      <c r="H10" s="127">
        <v>5114.82416899294</v>
      </c>
      <c r="I10" s="128">
        <v>87.114529814989595</v>
      </c>
      <c r="J10" s="128">
        <v>5027.7096391779496</v>
      </c>
      <c r="K10" s="127">
        <v>1881.3854286873</v>
      </c>
      <c r="L10" s="128">
        <v>2.3875942665354</v>
      </c>
      <c r="M10" s="128">
        <v>1878.99783442076</v>
      </c>
      <c r="N10" s="127">
        <v>3233.4387403056398</v>
      </c>
      <c r="O10" s="128">
        <v>84.726935548454193</v>
      </c>
      <c r="P10" s="129">
        <v>3148.7118047571898</v>
      </c>
    </row>
    <row r="11" spans="1:16" ht="16.2" customHeight="1">
      <c r="A11" s="123" t="s">
        <v>5</v>
      </c>
      <c r="B11" s="131">
        <v>4345.0796288127003</v>
      </c>
      <c r="C11" s="128">
        <v>41.874609542469202</v>
      </c>
      <c r="D11" s="128">
        <v>4303.20501927023</v>
      </c>
      <c r="E11" s="127">
        <v>6.6931190585536404</v>
      </c>
      <c r="F11" s="128">
        <v>0</v>
      </c>
      <c r="G11" s="128">
        <v>6.6931190585536404</v>
      </c>
      <c r="H11" s="127">
        <v>4338.3865097541402</v>
      </c>
      <c r="I11" s="128">
        <v>41.874609542469202</v>
      </c>
      <c r="J11" s="128">
        <v>4296.5119002116799</v>
      </c>
      <c r="K11" s="127">
        <v>3019.1168960928198</v>
      </c>
      <c r="L11" s="128">
        <v>41.010435941586103</v>
      </c>
      <c r="M11" s="128">
        <v>2978.1064601512298</v>
      </c>
      <c r="N11" s="127">
        <v>1319.2696136613299</v>
      </c>
      <c r="O11" s="128">
        <v>0.86417360088304995</v>
      </c>
      <c r="P11" s="129">
        <v>1318.40544006045</v>
      </c>
    </row>
    <row r="12" spans="1:16" ht="16.2" customHeight="1">
      <c r="A12" s="123" t="s">
        <v>52</v>
      </c>
      <c r="B12" s="131">
        <v>1147.5067939623718</v>
      </c>
      <c r="C12" s="128">
        <v>7.4885455199999997</v>
      </c>
      <c r="D12" s="128">
        <v>1140.0182484423719</v>
      </c>
      <c r="E12" s="127">
        <v>411.38689903869999</v>
      </c>
      <c r="F12" s="128">
        <v>0</v>
      </c>
      <c r="G12" s="128">
        <v>411.38689903869999</v>
      </c>
      <c r="H12" s="127">
        <v>736.11989492367195</v>
      </c>
      <c r="I12" s="128">
        <v>7.4885455199999997</v>
      </c>
      <c r="J12" s="128">
        <v>728.63134940367195</v>
      </c>
      <c r="K12" s="127">
        <v>333.93163655946898</v>
      </c>
      <c r="L12" s="128">
        <v>2.8085655200000001</v>
      </c>
      <c r="M12" s="128">
        <v>331.12307103946898</v>
      </c>
      <c r="N12" s="127">
        <v>402.188258364202</v>
      </c>
      <c r="O12" s="128">
        <v>4.6799799999999996</v>
      </c>
      <c r="P12" s="129">
        <v>397.508278364202</v>
      </c>
    </row>
    <row r="13" spans="1:16" ht="16.2" customHeight="1">
      <c r="A13" s="123" t="s">
        <v>6</v>
      </c>
      <c r="B13" s="131">
        <v>1304.0506841844201</v>
      </c>
      <c r="C13" s="128">
        <v>63.760368214884402</v>
      </c>
      <c r="D13" s="128">
        <v>1240.29031596953</v>
      </c>
      <c r="E13" s="127">
        <v>0</v>
      </c>
      <c r="F13" s="128">
        <v>0</v>
      </c>
      <c r="G13" s="128">
        <v>0</v>
      </c>
      <c r="H13" s="127">
        <v>1304.0506841844201</v>
      </c>
      <c r="I13" s="128">
        <v>63.760368214884402</v>
      </c>
      <c r="J13" s="128">
        <v>1240.29031596953</v>
      </c>
      <c r="K13" s="127">
        <v>742.42208543389404</v>
      </c>
      <c r="L13" s="128">
        <v>17.7931207365774</v>
      </c>
      <c r="M13" s="128">
        <v>724.62896469731697</v>
      </c>
      <c r="N13" s="127">
        <v>561.62859875052197</v>
      </c>
      <c r="O13" s="128">
        <v>45.967247478307002</v>
      </c>
      <c r="P13" s="129">
        <v>515.66135127221503</v>
      </c>
    </row>
    <row r="14" spans="1:16" ht="16.2" customHeight="1">
      <c r="A14" s="123" t="s">
        <v>53</v>
      </c>
      <c r="B14" s="131">
        <v>1305.7488020350463</v>
      </c>
      <c r="C14" s="128">
        <v>32.894415376234299</v>
      </c>
      <c r="D14" s="128">
        <v>1272.854386658812</v>
      </c>
      <c r="E14" s="127">
        <v>52.634035720832003</v>
      </c>
      <c r="F14" s="128">
        <v>7</v>
      </c>
      <c r="G14" s="128">
        <v>45.634035720832003</v>
      </c>
      <c r="H14" s="127">
        <v>1253.1147663142142</v>
      </c>
      <c r="I14" s="128">
        <v>25.894415376234299</v>
      </c>
      <c r="J14" s="128">
        <v>1227.2203509379799</v>
      </c>
      <c r="K14" s="127">
        <v>188.43994277711701</v>
      </c>
      <c r="L14" s="128">
        <v>1.4277503900005899</v>
      </c>
      <c r="M14" s="128">
        <v>187.01219238711701</v>
      </c>
      <c r="N14" s="127">
        <v>1064.6748235371001</v>
      </c>
      <c r="O14" s="128">
        <v>24.466664986233699</v>
      </c>
      <c r="P14" s="129">
        <v>1040.2081585508599</v>
      </c>
    </row>
    <row r="15" spans="1:16" ht="16.2" customHeight="1">
      <c r="A15" s="123" t="s">
        <v>54</v>
      </c>
      <c r="B15" s="131">
        <v>1220.94529172392</v>
      </c>
      <c r="C15" s="128">
        <v>102.89457392852999</v>
      </c>
      <c r="D15" s="128">
        <v>1118.05071779539</v>
      </c>
      <c r="E15" s="127">
        <v>57.608106460000002</v>
      </c>
      <c r="F15" s="128">
        <v>0</v>
      </c>
      <c r="G15" s="128">
        <v>57.608106460000002</v>
      </c>
      <c r="H15" s="127">
        <v>1163.33718526392</v>
      </c>
      <c r="I15" s="128">
        <v>102.89457392852999</v>
      </c>
      <c r="J15" s="128">
        <v>1060.44261133539</v>
      </c>
      <c r="K15" s="127">
        <v>499.30517474520599</v>
      </c>
      <c r="L15" s="128">
        <v>102.322839479341</v>
      </c>
      <c r="M15" s="128">
        <v>396.982335265865</v>
      </c>
      <c r="N15" s="127">
        <v>664.03201051871497</v>
      </c>
      <c r="O15" s="128">
        <v>0.57173444918931604</v>
      </c>
      <c r="P15" s="129">
        <v>663.46027606952498</v>
      </c>
    </row>
    <row r="16" spans="1:16" ht="16.2" customHeight="1">
      <c r="A16" s="123" t="s">
        <v>7</v>
      </c>
      <c r="B16" s="131">
        <v>1120.8211349098201</v>
      </c>
      <c r="C16" s="128">
        <v>6.2392461608100396</v>
      </c>
      <c r="D16" s="128">
        <v>1114.58188874901</v>
      </c>
      <c r="E16" s="127">
        <v>0</v>
      </c>
      <c r="F16" s="128">
        <v>0</v>
      </c>
      <c r="G16" s="128">
        <v>0</v>
      </c>
      <c r="H16" s="127">
        <v>1120.8211349098201</v>
      </c>
      <c r="I16" s="128">
        <v>6.2392461608100396</v>
      </c>
      <c r="J16" s="128">
        <v>1114.58188874901</v>
      </c>
      <c r="K16" s="127">
        <v>325.26991452365598</v>
      </c>
      <c r="L16" s="128">
        <v>5.03287755616096</v>
      </c>
      <c r="M16" s="128">
        <v>320.23703696749499</v>
      </c>
      <c r="N16" s="127">
        <v>795.55122038616696</v>
      </c>
      <c r="O16" s="128">
        <v>1.20636860464908</v>
      </c>
      <c r="P16" s="129">
        <v>794.34485178151795</v>
      </c>
    </row>
    <row r="17" spans="1:16" ht="16.2" customHeight="1">
      <c r="A17" s="123" t="s">
        <v>10</v>
      </c>
      <c r="B17" s="131">
        <v>897.82932379030206</v>
      </c>
      <c r="C17" s="128">
        <v>353.08847733636401</v>
      </c>
      <c r="D17" s="128">
        <v>544.74084645393805</v>
      </c>
      <c r="E17" s="127">
        <v>0</v>
      </c>
      <c r="F17" s="128">
        <v>0</v>
      </c>
      <c r="G17" s="128">
        <v>0</v>
      </c>
      <c r="H17" s="127">
        <v>897.82932379030206</v>
      </c>
      <c r="I17" s="128">
        <v>353.08847733636401</v>
      </c>
      <c r="J17" s="128">
        <v>544.74084645393805</v>
      </c>
      <c r="K17" s="127">
        <v>588.90058345228704</v>
      </c>
      <c r="L17" s="128">
        <v>341.39955946416802</v>
      </c>
      <c r="M17" s="128">
        <v>247.50102398811899</v>
      </c>
      <c r="N17" s="127">
        <v>308.92874033801399</v>
      </c>
      <c r="O17" s="128">
        <v>11.6889178721952</v>
      </c>
      <c r="P17" s="129">
        <v>297.23982246581897</v>
      </c>
    </row>
    <row r="18" spans="1:16" ht="16.2" customHeight="1">
      <c r="A18" s="123" t="s">
        <v>8</v>
      </c>
      <c r="B18" s="131">
        <v>883.47845800060099</v>
      </c>
      <c r="C18" s="128">
        <v>4.80117373665425</v>
      </c>
      <c r="D18" s="128">
        <v>878.67728426394694</v>
      </c>
      <c r="E18" s="127">
        <v>0</v>
      </c>
      <c r="F18" s="128">
        <v>0</v>
      </c>
      <c r="G18" s="128">
        <v>0</v>
      </c>
      <c r="H18" s="127">
        <v>883.47845800060099</v>
      </c>
      <c r="I18" s="128">
        <v>4.80117373665425</v>
      </c>
      <c r="J18" s="128">
        <v>878.67728426394694</v>
      </c>
      <c r="K18" s="127">
        <v>451.85878379644998</v>
      </c>
      <c r="L18" s="128">
        <v>0.232760938155817</v>
      </c>
      <c r="M18" s="128">
        <v>451.62602285829399</v>
      </c>
      <c r="N18" s="127">
        <v>431.61967420415198</v>
      </c>
      <c r="O18" s="128">
        <v>4.5684127984984402</v>
      </c>
      <c r="P18" s="129">
        <v>427.05126140565301</v>
      </c>
    </row>
    <row r="19" spans="1:16" ht="16.2" customHeight="1">
      <c r="A19" s="123" t="s">
        <v>9</v>
      </c>
      <c r="B19" s="131">
        <v>783.708029702825</v>
      </c>
      <c r="C19" s="128">
        <v>178.882330598724</v>
      </c>
      <c r="D19" s="128">
        <v>604.82569910410098</v>
      </c>
      <c r="E19" s="127">
        <v>0</v>
      </c>
      <c r="F19" s="128">
        <v>0</v>
      </c>
      <c r="G19" s="128">
        <v>0</v>
      </c>
      <c r="H19" s="127">
        <v>783.708029702825</v>
      </c>
      <c r="I19" s="128">
        <v>178.882330598724</v>
      </c>
      <c r="J19" s="128">
        <v>604.82569910410098</v>
      </c>
      <c r="K19" s="127">
        <v>649.95590865031204</v>
      </c>
      <c r="L19" s="128">
        <v>177.80568971266899</v>
      </c>
      <c r="M19" s="128">
        <v>472.15021893764299</v>
      </c>
      <c r="N19" s="127">
        <v>133.75212105251401</v>
      </c>
      <c r="O19" s="128">
        <v>1.0766408860555301</v>
      </c>
      <c r="P19" s="129">
        <v>132.67548016645799</v>
      </c>
    </row>
    <row r="20" spans="1:16" ht="16.2" customHeight="1">
      <c r="A20" s="123" t="s">
        <v>14</v>
      </c>
      <c r="B20" s="131">
        <v>433.98318382089002</v>
      </c>
      <c r="C20" s="128">
        <v>9.0705104794703502</v>
      </c>
      <c r="D20" s="128">
        <v>424.91267334141997</v>
      </c>
      <c r="E20" s="127">
        <v>0</v>
      </c>
      <c r="F20" s="128">
        <v>0</v>
      </c>
      <c r="G20" s="128">
        <v>0</v>
      </c>
      <c r="H20" s="127">
        <v>433.98318382089002</v>
      </c>
      <c r="I20" s="128">
        <v>9.0705104794703502</v>
      </c>
      <c r="J20" s="128">
        <v>424.91267334141997</v>
      </c>
      <c r="K20" s="127">
        <v>186.55342962759801</v>
      </c>
      <c r="L20" s="128">
        <v>8.7560545244700201</v>
      </c>
      <c r="M20" s="128">
        <v>177.79737510312799</v>
      </c>
      <c r="N20" s="127">
        <v>247.42975419329201</v>
      </c>
      <c r="O20" s="128">
        <v>0.31445595500033002</v>
      </c>
      <c r="P20" s="129">
        <v>247.11529823829201</v>
      </c>
    </row>
    <row r="21" spans="1:16" ht="16.2" customHeight="1">
      <c r="A21" s="123" t="s">
        <v>12</v>
      </c>
      <c r="B21" s="131">
        <v>420.16022114796198</v>
      </c>
      <c r="C21" s="128">
        <v>9.1410487094533295</v>
      </c>
      <c r="D21" s="128">
        <v>411.01917243850897</v>
      </c>
      <c r="E21" s="127">
        <v>0</v>
      </c>
      <c r="F21" s="128">
        <v>0</v>
      </c>
      <c r="G21" s="128">
        <v>0</v>
      </c>
      <c r="H21" s="127">
        <v>420.16022114796198</v>
      </c>
      <c r="I21" s="128">
        <v>9.1410487094533295</v>
      </c>
      <c r="J21" s="128">
        <v>411.01917243850897</v>
      </c>
      <c r="K21" s="127">
        <v>219.836443388665</v>
      </c>
      <c r="L21" s="128">
        <v>1.5037810611813101</v>
      </c>
      <c r="M21" s="128">
        <v>218.332662327484</v>
      </c>
      <c r="N21" s="127">
        <v>200.323777759297</v>
      </c>
      <c r="O21" s="128">
        <v>7.6372676482720303</v>
      </c>
      <c r="P21" s="129">
        <v>192.686510111025</v>
      </c>
    </row>
    <row r="22" spans="1:16" ht="16.2" customHeight="1">
      <c r="A22" s="123" t="s">
        <v>11</v>
      </c>
      <c r="B22" s="131">
        <v>402.38488557153602</v>
      </c>
      <c r="C22" s="128">
        <v>9.2498380943373792</v>
      </c>
      <c r="D22" s="128">
        <v>393.13504747719901</v>
      </c>
      <c r="E22" s="127">
        <v>0</v>
      </c>
      <c r="F22" s="128">
        <v>0</v>
      </c>
      <c r="G22" s="128">
        <v>0</v>
      </c>
      <c r="H22" s="127">
        <v>402.38488557153602</v>
      </c>
      <c r="I22" s="128">
        <v>9.2498380943373792</v>
      </c>
      <c r="J22" s="128">
        <v>393.13504747719901</v>
      </c>
      <c r="K22" s="127">
        <v>13.2577885268558</v>
      </c>
      <c r="L22" s="128">
        <v>0</v>
      </c>
      <c r="M22" s="128">
        <v>13.2577885268558</v>
      </c>
      <c r="N22" s="127">
        <v>389.12709704468102</v>
      </c>
      <c r="O22" s="128">
        <v>9.2498380943373792</v>
      </c>
      <c r="P22" s="129">
        <v>379.87725895034299</v>
      </c>
    </row>
    <row r="23" spans="1:16" ht="16.2" customHeight="1">
      <c r="A23" s="123" t="s">
        <v>13</v>
      </c>
      <c r="B23" s="131">
        <v>384.02185095488102</v>
      </c>
      <c r="C23" s="128">
        <v>7.0585210520416704</v>
      </c>
      <c r="D23" s="128">
        <v>376.96332990283901</v>
      </c>
      <c r="E23" s="127">
        <v>0</v>
      </c>
      <c r="F23" s="128">
        <v>0</v>
      </c>
      <c r="G23" s="128">
        <v>0</v>
      </c>
      <c r="H23" s="127">
        <v>384.02185095488102</v>
      </c>
      <c r="I23" s="128">
        <v>7.0585210520416704</v>
      </c>
      <c r="J23" s="128">
        <v>376.96332990283901</v>
      </c>
      <c r="K23" s="127">
        <v>260.88461616728102</v>
      </c>
      <c r="L23" s="128">
        <v>4.6372001743378197</v>
      </c>
      <c r="M23" s="128">
        <v>256.24741599294299</v>
      </c>
      <c r="N23" s="127">
        <v>123.13723478759999</v>
      </c>
      <c r="O23" s="128">
        <v>2.42132087770384</v>
      </c>
      <c r="P23" s="129">
        <v>120.715913909896</v>
      </c>
    </row>
    <row r="24" spans="1:16" ht="16.2" customHeight="1">
      <c r="A24" s="123" t="s">
        <v>16</v>
      </c>
      <c r="B24" s="131">
        <v>356.66494742208101</v>
      </c>
      <c r="C24" s="128">
        <v>24.208032790000001</v>
      </c>
      <c r="D24" s="128">
        <v>332.45691463207999</v>
      </c>
      <c r="E24" s="127">
        <v>0</v>
      </c>
      <c r="F24" s="128">
        <v>0</v>
      </c>
      <c r="G24" s="128">
        <v>0</v>
      </c>
      <c r="H24" s="127">
        <v>356.66494742208101</v>
      </c>
      <c r="I24" s="128">
        <v>24.208032790000001</v>
      </c>
      <c r="J24" s="128">
        <v>332.45691463207999</v>
      </c>
      <c r="K24" s="127">
        <v>274.55700687650301</v>
      </c>
      <c r="L24" s="128">
        <v>24.208032790000001</v>
      </c>
      <c r="M24" s="128">
        <v>250.34897408650301</v>
      </c>
      <c r="N24" s="127">
        <v>82.107940545577307</v>
      </c>
      <c r="O24" s="128">
        <v>0</v>
      </c>
      <c r="P24" s="129">
        <v>82.107940545577307</v>
      </c>
    </row>
    <row r="25" spans="1:16" ht="16.2" customHeight="1">
      <c r="A25" s="123" t="s">
        <v>18</v>
      </c>
      <c r="B25" s="131">
        <v>310.23547350174903</v>
      </c>
      <c r="C25" s="128">
        <v>3.7219455372069299</v>
      </c>
      <c r="D25" s="128">
        <v>306.51352796454199</v>
      </c>
      <c r="E25" s="127">
        <v>0</v>
      </c>
      <c r="F25" s="128">
        <v>0</v>
      </c>
      <c r="G25" s="128">
        <v>0</v>
      </c>
      <c r="H25" s="127">
        <v>310.23547350174903</v>
      </c>
      <c r="I25" s="128">
        <v>3.7219455372069299</v>
      </c>
      <c r="J25" s="128">
        <v>306.51352796454199</v>
      </c>
      <c r="K25" s="127">
        <v>277.57330859308001</v>
      </c>
      <c r="L25" s="128">
        <v>3.6078372800418701</v>
      </c>
      <c r="M25" s="128">
        <v>273.96547131303799</v>
      </c>
      <c r="N25" s="127">
        <v>32.662164908669297</v>
      </c>
      <c r="O25" s="128">
        <v>0.114108257165062</v>
      </c>
      <c r="P25" s="129">
        <v>32.548056651504197</v>
      </c>
    </row>
    <row r="26" spans="1:16" ht="16.2" customHeight="1">
      <c r="A26" s="123" t="s">
        <v>19</v>
      </c>
      <c r="B26" s="131">
        <v>274.387713011551</v>
      </c>
      <c r="C26" s="128">
        <v>1.0622217245199499E-2</v>
      </c>
      <c r="D26" s="128">
        <v>274.37709079430601</v>
      </c>
      <c r="E26" s="127">
        <v>15.1146825501494</v>
      </c>
      <c r="F26" s="128">
        <v>0</v>
      </c>
      <c r="G26" s="128">
        <v>15.1146825501494</v>
      </c>
      <c r="H26" s="127">
        <v>259.27303046140202</v>
      </c>
      <c r="I26" s="128">
        <v>1.0622217245199499E-2</v>
      </c>
      <c r="J26" s="128">
        <v>259.26240824415697</v>
      </c>
      <c r="K26" s="127">
        <v>0.110616883540043</v>
      </c>
      <c r="L26" s="128">
        <v>1.0622217245199499E-2</v>
      </c>
      <c r="M26" s="128">
        <v>9.9994666294843507E-2</v>
      </c>
      <c r="N26" s="127">
        <v>259.16241357786203</v>
      </c>
      <c r="O26" s="128">
        <v>0</v>
      </c>
      <c r="P26" s="129">
        <v>259.16241357786203</v>
      </c>
    </row>
    <row r="27" spans="1:16" ht="16.2" customHeight="1">
      <c r="A27" s="123" t="s">
        <v>17</v>
      </c>
      <c r="B27" s="131">
        <v>273.53621086293299</v>
      </c>
      <c r="C27" s="128">
        <v>13.0452161874687</v>
      </c>
      <c r="D27" s="128">
        <v>260.49099467546398</v>
      </c>
      <c r="E27" s="127">
        <v>0</v>
      </c>
      <c r="F27" s="128">
        <v>0</v>
      </c>
      <c r="G27" s="128">
        <v>0</v>
      </c>
      <c r="H27" s="127">
        <v>273.53621086293299</v>
      </c>
      <c r="I27" s="128">
        <v>13.0452161874687</v>
      </c>
      <c r="J27" s="128">
        <v>260.49099467546398</v>
      </c>
      <c r="K27" s="127">
        <v>111.258726009163</v>
      </c>
      <c r="L27" s="128">
        <v>0.21587062968729601</v>
      </c>
      <c r="M27" s="128">
        <v>111.04285537947599</v>
      </c>
      <c r="N27" s="127">
        <v>162.27748485377001</v>
      </c>
      <c r="O27" s="128">
        <v>12.8293455577814</v>
      </c>
      <c r="P27" s="129">
        <v>149.448139295988</v>
      </c>
    </row>
    <row r="28" spans="1:16" ht="16.2" customHeight="1">
      <c r="A28" s="123" t="s">
        <v>55</v>
      </c>
      <c r="B28" s="131">
        <v>260.39592412529299</v>
      </c>
      <c r="C28" s="128">
        <v>97.593503947174796</v>
      </c>
      <c r="D28" s="128">
        <v>162.80242017811801</v>
      </c>
      <c r="E28" s="127">
        <v>0</v>
      </c>
      <c r="F28" s="128">
        <v>0</v>
      </c>
      <c r="G28" s="128">
        <v>0</v>
      </c>
      <c r="H28" s="127">
        <v>260.39592412529299</v>
      </c>
      <c r="I28" s="128">
        <v>97.593503947174796</v>
      </c>
      <c r="J28" s="128">
        <v>162.80242017811801</v>
      </c>
      <c r="K28" s="127">
        <v>195.254303424272</v>
      </c>
      <c r="L28" s="128">
        <v>92.728577398802003</v>
      </c>
      <c r="M28" s="128">
        <v>102.52572602546999</v>
      </c>
      <c r="N28" s="127">
        <v>65.141620701021296</v>
      </c>
      <c r="O28" s="128">
        <v>4.8649265483728401</v>
      </c>
      <c r="P28" s="129">
        <v>60.276694152648403</v>
      </c>
    </row>
    <row r="29" spans="1:16" ht="16.2" customHeight="1">
      <c r="A29" s="123" t="s">
        <v>15</v>
      </c>
      <c r="B29" s="131">
        <v>238.47596953295999</v>
      </c>
      <c r="C29" s="128">
        <v>4.6663999999999997E-2</v>
      </c>
      <c r="D29" s="128">
        <v>238.42930553296</v>
      </c>
      <c r="E29" s="127">
        <v>0</v>
      </c>
      <c r="F29" s="128">
        <v>0</v>
      </c>
      <c r="G29" s="128">
        <v>0</v>
      </c>
      <c r="H29" s="127">
        <v>238.47596953295999</v>
      </c>
      <c r="I29" s="128">
        <v>4.6663999999999997E-2</v>
      </c>
      <c r="J29" s="128">
        <v>238.42930553296</v>
      </c>
      <c r="K29" s="127">
        <v>21.225373447183401</v>
      </c>
      <c r="L29" s="128">
        <v>0</v>
      </c>
      <c r="M29" s="128">
        <v>21.225373447183401</v>
      </c>
      <c r="N29" s="127">
        <v>217.250596085777</v>
      </c>
      <c r="O29" s="128">
        <v>4.6663999999999997E-2</v>
      </c>
      <c r="P29" s="129">
        <v>217.20393208577701</v>
      </c>
    </row>
    <row r="30" spans="1:16" ht="16.2" customHeight="1">
      <c r="A30" s="123" t="s">
        <v>20</v>
      </c>
      <c r="B30" s="131">
        <v>222.516568366988</v>
      </c>
      <c r="C30" s="128">
        <v>4.0000000000000001E-3</v>
      </c>
      <c r="D30" s="128">
        <v>222.51256836698801</v>
      </c>
      <c r="E30" s="127">
        <v>0</v>
      </c>
      <c r="F30" s="128">
        <v>0</v>
      </c>
      <c r="G30" s="128">
        <v>0</v>
      </c>
      <c r="H30" s="127">
        <v>222.516568366988</v>
      </c>
      <c r="I30" s="128">
        <v>4.0000000000000001E-3</v>
      </c>
      <c r="J30" s="128">
        <v>222.51256836698801</v>
      </c>
      <c r="K30" s="127">
        <v>30.3484610236553</v>
      </c>
      <c r="L30" s="128">
        <v>0</v>
      </c>
      <c r="M30" s="128">
        <v>30.3484610236553</v>
      </c>
      <c r="N30" s="127">
        <v>192.16810734333299</v>
      </c>
      <c r="O30" s="128">
        <v>4.0000000000000001E-3</v>
      </c>
      <c r="P30" s="129">
        <v>192.164107343333</v>
      </c>
    </row>
    <row r="31" spans="1:16" ht="16.2" customHeight="1">
      <c r="A31" s="132" t="s">
        <v>21</v>
      </c>
      <c r="B31" s="133">
        <v>2324.6703475883237</v>
      </c>
      <c r="C31" s="134">
        <v>66.976908848829154</v>
      </c>
      <c r="D31" s="134">
        <v>2257.693438739494</v>
      </c>
      <c r="E31" s="135">
        <v>18.336011906944002</v>
      </c>
      <c r="F31" s="134">
        <v>0</v>
      </c>
      <c r="G31" s="134">
        <v>18.336011906944002</v>
      </c>
      <c r="H31" s="135">
        <v>2306.3343356813793</v>
      </c>
      <c r="I31" s="134">
        <v>66.976908848829154</v>
      </c>
      <c r="J31" s="134">
        <v>2239.3574268325497</v>
      </c>
      <c r="K31" s="135">
        <v>917.07658321160181</v>
      </c>
      <c r="L31" s="134">
        <v>28.878580897252604</v>
      </c>
      <c r="M31" s="134">
        <v>888.1980023143492</v>
      </c>
      <c r="N31" s="135">
        <v>1389.2577524697772</v>
      </c>
      <c r="O31" s="134">
        <v>38.098327951576458</v>
      </c>
      <c r="P31" s="136">
        <v>1351.1594245182009</v>
      </c>
    </row>
    <row r="33" spans="1:3" ht="16.2" customHeight="1">
      <c r="A33" s="93" t="s">
        <v>64</v>
      </c>
      <c r="C33" s="79"/>
    </row>
    <row r="34" spans="1:3" ht="16.2" customHeight="1">
      <c r="A34" s="93" t="s">
        <v>65</v>
      </c>
      <c r="C34" s="79"/>
    </row>
    <row r="35" spans="1:3" ht="16.2" customHeight="1">
      <c r="A35" s="93" t="s">
        <v>66</v>
      </c>
    </row>
    <row r="36" spans="1:3" ht="16.2" customHeight="1">
      <c r="A36" s="93" t="s">
        <v>67</v>
      </c>
    </row>
  </sheetData>
  <mergeCells count="10">
    <mergeCell ref="A1:P1"/>
    <mergeCell ref="A2:P2"/>
    <mergeCell ref="A4:A7"/>
    <mergeCell ref="B4:D6"/>
    <mergeCell ref="E5:G6"/>
    <mergeCell ref="H5:J6"/>
    <mergeCell ref="K5:P5"/>
    <mergeCell ref="K6:M6"/>
    <mergeCell ref="N6:P6"/>
    <mergeCell ref="E4:J4"/>
  </mergeCells>
  <pageMargins left="0.15748031496062992" right="0.15748031496062992" top="0.51181102362204722" bottom="0.55118110236220474" header="0.15748031496062992" footer="0.15748031496062992"/>
  <pageSetup paperSize="9" scale="61" fitToHeight="0"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J36"/>
  <sheetViews>
    <sheetView showGridLines="0" workbookViewId="0">
      <pane xSplit="1" ySplit="7" topLeftCell="B8" activePane="bottomRight" state="frozen"/>
      <selection activeCell="A2" sqref="A2:S53"/>
      <selection pane="topRight" activeCell="A2" sqref="A2:S53"/>
      <selection pane="bottomLeft" activeCell="A2" sqref="A2:S53"/>
      <selection pane="bottomRight" activeCell="E22" sqref="E22"/>
    </sheetView>
  </sheetViews>
  <sheetFormatPr defaultColWidth="8.6640625" defaultRowHeight="13.2"/>
  <cols>
    <col min="1" max="1" width="26.6640625" style="89" bestFit="1" customWidth="1"/>
    <col min="2" max="10" width="14.109375" style="89" customWidth="1"/>
    <col min="11" max="16384" width="8.6640625" style="89"/>
  </cols>
  <sheetData>
    <row r="1" spans="1:10" s="86" customFormat="1" ht="13.2" customHeight="1">
      <c r="A1" s="85"/>
      <c r="B1" s="174" t="s">
        <v>61</v>
      </c>
      <c r="C1" s="174"/>
      <c r="D1" s="174"/>
      <c r="E1" s="174"/>
      <c r="F1" s="174"/>
      <c r="G1" s="174"/>
      <c r="H1" s="174"/>
      <c r="I1" s="174"/>
      <c r="J1" s="174"/>
    </row>
    <row r="2" spans="1:10" s="86" customFormat="1">
      <c r="A2" s="85"/>
      <c r="B2" s="174" t="str">
        <f>IF('1'!$A$1=1,"станом на 31.12.2021","as of 31-th december 2021")</f>
        <v>станом на 31.12.2021</v>
      </c>
      <c r="C2" s="174"/>
      <c r="D2" s="174"/>
      <c r="E2" s="174"/>
      <c r="F2" s="174"/>
      <c r="G2" s="174"/>
      <c r="H2" s="174"/>
      <c r="I2" s="174"/>
      <c r="J2" s="174"/>
    </row>
    <row r="3" spans="1:10" s="86" customFormat="1" ht="13.35" customHeight="1">
      <c r="A3" s="85"/>
      <c r="B3" s="87"/>
      <c r="C3" s="87"/>
      <c r="D3" s="87"/>
      <c r="E3" s="87"/>
      <c r="F3" s="87"/>
      <c r="G3" s="87"/>
      <c r="H3" s="87"/>
      <c r="I3" s="87"/>
      <c r="J3" s="88" t="str">
        <f>IF('1'!$A$1=1,"млн. дол. США","Millions of USD")</f>
        <v>млн. дол. США</v>
      </c>
    </row>
    <row r="4" spans="1:10" ht="13.35" customHeight="1">
      <c r="A4" s="175"/>
      <c r="B4" s="178" t="str">
        <f>IF('1'!$A$1=1,"1. Нефінансові корпорації","1. Other Sectors")</f>
        <v>1. Нефінансові корпорації</v>
      </c>
      <c r="C4" s="179"/>
      <c r="D4" s="180"/>
      <c r="E4" s="184" t="str">
        <f>IF('1'!$A$1=1,"з них:","of wich:")</f>
        <v>з них:</v>
      </c>
      <c r="F4" s="184"/>
      <c r="G4" s="184"/>
      <c r="H4" s="184"/>
      <c r="I4" s="184"/>
      <c r="J4" s="184"/>
    </row>
    <row r="5" spans="1:10">
      <c r="A5" s="176"/>
      <c r="B5" s="181"/>
      <c r="C5" s="182"/>
      <c r="D5" s="183"/>
      <c r="E5" s="184" t="s">
        <v>63</v>
      </c>
      <c r="F5" s="184"/>
      <c r="G5" s="184"/>
      <c r="H5" s="184" t="str">
        <f>IF('1'!$A$1=1,"1.2 інші негарантовані кредити","1.2 Other loans")</f>
        <v>1.2 інші негарантовані кредити</v>
      </c>
      <c r="I5" s="184"/>
      <c r="J5" s="184"/>
    </row>
    <row r="6" spans="1:10" ht="24">
      <c r="A6" s="177"/>
      <c r="B6" s="90" t="str">
        <f>IF('1'!$A$1=1,"усього","Total")</f>
        <v>усього</v>
      </c>
      <c r="C6" s="90" t="str">
        <f>IF('1'!$A$1=1,"основна сума боргу","Principal")</f>
        <v>основна сума боргу</v>
      </c>
      <c r="D6" s="90" t="str">
        <f>IF('1'!$A$1=1,"відсоткові платежі","Interest")</f>
        <v>відсоткові платежі</v>
      </c>
      <c r="E6" s="90" t="str">
        <f>IF('1'!$A$1=1,"усього","Total")</f>
        <v>усього</v>
      </c>
      <c r="F6" s="90" t="str">
        <f>IF('1'!$A$1=1,"основна сума боргу","Principal")</f>
        <v>основна сума боргу</v>
      </c>
      <c r="G6" s="90" t="str">
        <f>IF('1'!$A$1=1,"відсоткові платежі","Interest")</f>
        <v>відсоткові платежі</v>
      </c>
      <c r="H6" s="90" t="str">
        <f>IF('1'!$A$1=1,"усього","Total")</f>
        <v>усього</v>
      </c>
      <c r="I6" s="90" t="str">
        <f>IF('1'!$A$1=1,"основна сума боргу","Principal")</f>
        <v>основна сума боргу</v>
      </c>
      <c r="J6" s="90" t="str">
        <f>IF('1'!$A$1=1,"відсоткові платежі","Interest")</f>
        <v>відсоткові платежі</v>
      </c>
    </row>
    <row r="7" spans="1:10">
      <c r="A7" s="82" t="s">
        <v>3</v>
      </c>
      <c r="B7" s="137">
        <v>22976</v>
      </c>
      <c r="C7" s="138">
        <v>16649</v>
      </c>
      <c r="D7" s="138">
        <v>6327</v>
      </c>
      <c r="E7" s="139">
        <v>7741</v>
      </c>
      <c r="F7" s="138">
        <v>5347</v>
      </c>
      <c r="G7" s="138">
        <v>2394</v>
      </c>
      <c r="H7" s="139">
        <v>15235</v>
      </c>
      <c r="I7" s="138">
        <v>11302</v>
      </c>
      <c r="J7" s="140">
        <v>3933</v>
      </c>
    </row>
    <row r="8" spans="1:10" s="91" customFormat="1">
      <c r="A8" s="83" t="s">
        <v>4</v>
      </c>
      <c r="B8" s="141">
        <v>14229.169317219101</v>
      </c>
      <c r="C8" s="142">
        <v>10262.949286652258</v>
      </c>
      <c r="D8" s="142">
        <v>3966.2200305668903</v>
      </c>
      <c r="E8" s="143">
        <v>4538.8662644667502</v>
      </c>
      <c r="F8" s="142">
        <v>2948.8881827598498</v>
      </c>
      <c r="G8" s="142">
        <v>1589.9780817069038</v>
      </c>
      <c r="H8" s="143">
        <v>9690.3030527524206</v>
      </c>
      <c r="I8" s="142">
        <v>7314.0611038924399</v>
      </c>
      <c r="J8" s="144">
        <v>2376.2419488599762</v>
      </c>
    </row>
    <row r="9" spans="1:10" s="91" customFormat="1" ht="22.8">
      <c r="A9" s="115" t="s">
        <v>51</v>
      </c>
      <c r="B9" s="141">
        <v>1720.61654951116</v>
      </c>
      <c r="C9" s="142">
        <v>1210.2432145114799</v>
      </c>
      <c r="D9" s="142">
        <v>510.37333499968486</v>
      </c>
      <c r="E9" s="143">
        <v>614.61608968887799</v>
      </c>
      <c r="F9" s="142">
        <v>475.17004650264602</v>
      </c>
      <c r="G9" s="142">
        <v>139.44604318623198</v>
      </c>
      <c r="H9" s="143">
        <v>1106.0004598222899</v>
      </c>
      <c r="I9" s="142">
        <v>735.07316800883405</v>
      </c>
      <c r="J9" s="144">
        <v>370.92729181345288</v>
      </c>
    </row>
    <row r="10" spans="1:10" s="91" customFormat="1">
      <c r="A10" s="83" t="s">
        <v>5</v>
      </c>
      <c r="B10" s="141">
        <v>1265.1324696199999</v>
      </c>
      <c r="C10" s="142">
        <v>1013.1676742727</v>
      </c>
      <c r="D10" s="142">
        <v>251.96479534730801</v>
      </c>
      <c r="E10" s="143">
        <v>471.12876811720702</v>
      </c>
      <c r="F10" s="142">
        <v>386.611699894553</v>
      </c>
      <c r="G10" s="142">
        <v>84.517068222653705</v>
      </c>
      <c r="H10" s="143">
        <v>794.00370150279798</v>
      </c>
      <c r="I10" s="142">
        <v>626.55597437814401</v>
      </c>
      <c r="J10" s="144">
        <v>167.44772712465399</v>
      </c>
    </row>
    <row r="11" spans="1:10" s="91" customFormat="1">
      <c r="A11" s="83" t="s">
        <v>7</v>
      </c>
      <c r="B11" s="141">
        <v>968.41616990312605</v>
      </c>
      <c r="C11" s="142">
        <v>773.73293511803001</v>
      </c>
      <c r="D11" s="142">
        <v>194.68323478509615</v>
      </c>
      <c r="E11" s="143">
        <v>247.83970593333001</v>
      </c>
      <c r="F11" s="142">
        <v>203.95652294384499</v>
      </c>
      <c r="G11" s="142">
        <v>43.883182989485398</v>
      </c>
      <c r="H11" s="143">
        <v>720.57646396979499</v>
      </c>
      <c r="I11" s="142">
        <v>569.776412174185</v>
      </c>
      <c r="J11" s="144">
        <v>150.80005179561013</v>
      </c>
    </row>
    <row r="12" spans="1:10" s="91" customFormat="1">
      <c r="A12" s="83" t="s">
        <v>54</v>
      </c>
      <c r="B12" s="141">
        <v>681.61974700345297</v>
      </c>
      <c r="C12" s="142">
        <v>464.257170088603</v>
      </c>
      <c r="D12" s="142">
        <v>217.36257691485</v>
      </c>
      <c r="E12" s="143">
        <v>286.324928576952</v>
      </c>
      <c r="F12" s="142">
        <v>228.53944274432999</v>
      </c>
      <c r="G12" s="142">
        <v>57.7854858326223</v>
      </c>
      <c r="H12" s="143">
        <v>395.29481842650102</v>
      </c>
      <c r="I12" s="142">
        <v>235.71772734427299</v>
      </c>
      <c r="J12" s="144">
        <v>159.57709108222699</v>
      </c>
    </row>
    <row r="13" spans="1:10" s="91" customFormat="1">
      <c r="A13" s="83" t="s">
        <v>53</v>
      </c>
      <c r="B13" s="141">
        <v>563.85633821982901</v>
      </c>
      <c r="C13" s="142">
        <v>430.18651220244601</v>
      </c>
      <c r="D13" s="142">
        <v>133.669826017383</v>
      </c>
      <c r="E13" s="143">
        <v>30.146467052912101</v>
      </c>
      <c r="F13" s="142">
        <v>25.457585102861099</v>
      </c>
      <c r="G13" s="142">
        <v>4.68888195005096</v>
      </c>
      <c r="H13" s="143">
        <v>533.70987116691697</v>
      </c>
      <c r="I13" s="142">
        <v>404.72892709958398</v>
      </c>
      <c r="J13" s="144">
        <v>128.98094406733199</v>
      </c>
    </row>
    <row r="14" spans="1:10" s="91" customFormat="1">
      <c r="A14" s="83" t="s">
        <v>10</v>
      </c>
      <c r="B14" s="141">
        <v>502.23531018189601</v>
      </c>
      <c r="C14" s="142">
        <v>442.04276024295399</v>
      </c>
      <c r="D14" s="142">
        <v>60.192549938942797</v>
      </c>
      <c r="E14" s="143">
        <v>272.60185331776597</v>
      </c>
      <c r="F14" s="142">
        <v>255.801378775784</v>
      </c>
      <c r="G14" s="142">
        <v>16.800474541982499</v>
      </c>
      <c r="H14" s="143">
        <v>229.63345686413001</v>
      </c>
      <c r="I14" s="142">
        <v>186.24138146716999</v>
      </c>
      <c r="J14" s="144">
        <v>43.392075396960301</v>
      </c>
    </row>
    <row r="15" spans="1:10" s="91" customFormat="1">
      <c r="A15" s="83" t="s">
        <v>6</v>
      </c>
      <c r="B15" s="141">
        <v>351.329054875297</v>
      </c>
      <c r="C15" s="142">
        <v>323.07722413045798</v>
      </c>
      <c r="D15" s="142">
        <v>28.251830744838351</v>
      </c>
      <c r="E15" s="143">
        <v>173.320905374913</v>
      </c>
      <c r="F15" s="142">
        <v>156.91831035898599</v>
      </c>
      <c r="G15" s="142">
        <v>16.402595015926799</v>
      </c>
      <c r="H15" s="143">
        <v>178.00814950038401</v>
      </c>
      <c r="I15" s="142">
        <v>166.15891377147199</v>
      </c>
      <c r="J15" s="144">
        <v>11.84923572891155</v>
      </c>
    </row>
    <row r="16" spans="1:10" s="91" customFormat="1">
      <c r="A16" s="83" t="s">
        <v>11</v>
      </c>
      <c r="B16" s="141">
        <v>298.91224666511999</v>
      </c>
      <c r="C16" s="142">
        <v>217.99214253177601</v>
      </c>
      <c r="D16" s="142">
        <v>80.920104133343798</v>
      </c>
      <c r="E16" s="143">
        <v>11.131794526855799</v>
      </c>
      <c r="F16" s="142">
        <v>5.9759909114237804</v>
      </c>
      <c r="G16" s="142">
        <v>5.1558036154320304</v>
      </c>
      <c r="H16" s="143">
        <v>287.78045213826402</v>
      </c>
      <c r="I16" s="142">
        <v>212.01615162035199</v>
      </c>
      <c r="J16" s="144">
        <v>75.764300517911707</v>
      </c>
    </row>
    <row r="17" spans="1:10" s="91" customFormat="1">
      <c r="A17" s="83" t="s">
        <v>52</v>
      </c>
      <c r="B17" s="141">
        <v>203.87408452083599</v>
      </c>
      <c r="C17" s="142">
        <v>106.388314101334</v>
      </c>
      <c r="D17" s="142">
        <v>97.485770419501904</v>
      </c>
      <c r="E17" s="143">
        <v>172.79943005552599</v>
      </c>
      <c r="F17" s="142">
        <v>85.840001192050806</v>
      </c>
      <c r="G17" s="142">
        <v>86.959428863475196</v>
      </c>
      <c r="H17" s="143">
        <v>31.0746544653096</v>
      </c>
      <c r="I17" s="142">
        <v>20.548312909282899</v>
      </c>
      <c r="J17" s="144">
        <v>10.526341556026701</v>
      </c>
    </row>
    <row r="18" spans="1:10" s="91" customFormat="1">
      <c r="A18" s="83" t="s">
        <v>8</v>
      </c>
      <c r="B18" s="141">
        <v>183.260015993412</v>
      </c>
      <c r="C18" s="142">
        <v>148.46042659489899</v>
      </c>
      <c r="D18" s="142">
        <v>34.799589398513298</v>
      </c>
      <c r="E18" s="143">
        <v>77.088212329627098</v>
      </c>
      <c r="F18" s="142">
        <v>59.395530667045001</v>
      </c>
      <c r="G18" s="142">
        <v>17.692681662582</v>
      </c>
      <c r="H18" s="143">
        <v>106.171803663785</v>
      </c>
      <c r="I18" s="142">
        <v>89.064895927853797</v>
      </c>
      <c r="J18" s="144">
        <v>17.106907735931301</v>
      </c>
    </row>
    <row r="19" spans="1:10" s="91" customFormat="1">
      <c r="A19" s="83" t="s">
        <v>20</v>
      </c>
      <c r="B19" s="141">
        <v>181.34696666882601</v>
      </c>
      <c r="C19" s="142">
        <v>115.47154506012301</v>
      </c>
      <c r="D19" s="142">
        <v>65.875421608702894</v>
      </c>
      <c r="E19" s="143">
        <v>26.9293724643662</v>
      </c>
      <c r="F19" s="142">
        <v>20.911487397482201</v>
      </c>
      <c r="G19" s="142">
        <v>6.0178850668839603</v>
      </c>
      <c r="H19" s="143">
        <v>154.41759420445999</v>
      </c>
      <c r="I19" s="142">
        <v>94.560057662641199</v>
      </c>
      <c r="J19" s="144">
        <v>59.857536541819002</v>
      </c>
    </row>
    <row r="20" spans="1:10" s="91" customFormat="1">
      <c r="A20" s="83" t="s">
        <v>14</v>
      </c>
      <c r="B20" s="141">
        <v>125.982124134667</v>
      </c>
      <c r="C20" s="142">
        <v>107.160924450726</v>
      </c>
      <c r="D20" s="142">
        <v>18.8211996839417</v>
      </c>
      <c r="E20" s="143">
        <v>77.815933788165196</v>
      </c>
      <c r="F20" s="142">
        <v>63.612791155662102</v>
      </c>
      <c r="G20" s="142">
        <v>14.2031426325031</v>
      </c>
      <c r="H20" s="143">
        <v>48.166190346501999</v>
      </c>
      <c r="I20" s="142">
        <v>43.548133295063501</v>
      </c>
      <c r="J20" s="144">
        <v>4.6180570514385799</v>
      </c>
    </row>
    <row r="21" spans="1:10" s="91" customFormat="1">
      <c r="A21" s="83" t="s">
        <v>55</v>
      </c>
      <c r="B21" s="141">
        <v>113.383345093676</v>
      </c>
      <c r="C21" s="142">
        <v>104.985161306862</v>
      </c>
      <c r="D21" s="142">
        <v>8.3981837868138705</v>
      </c>
      <c r="E21" s="143">
        <v>96.861925836227599</v>
      </c>
      <c r="F21" s="142">
        <v>95.708079806684196</v>
      </c>
      <c r="G21" s="142">
        <v>1.1538460295433699</v>
      </c>
      <c r="H21" s="143">
        <v>16.5214192574485</v>
      </c>
      <c r="I21" s="142">
        <v>9.2770815001780207</v>
      </c>
      <c r="J21" s="144">
        <v>7.2443377572705003</v>
      </c>
    </row>
    <row r="22" spans="1:10" s="91" customFormat="1">
      <c r="A22" s="83" t="s">
        <v>13</v>
      </c>
      <c r="B22" s="141">
        <v>113.20327117830701</v>
      </c>
      <c r="C22" s="142">
        <v>33.765546238486799</v>
      </c>
      <c r="D22" s="142">
        <v>79.437724939820512</v>
      </c>
      <c r="E22" s="143">
        <v>97.825691738916603</v>
      </c>
      <c r="F22" s="142">
        <v>23.090838823956702</v>
      </c>
      <c r="G22" s="142">
        <v>74.734852914959902</v>
      </c>
      <c r="H22" s="143">
        <v>15.3775794393908</v>
      </c>
      <c r="I22" s="142">
        <v>10.674707414530101</v>
      </c>
      <c r="J22" s="144">
        <v>4.7028720248606604</v>
      </c>
    </row>
    <row r="23" spans="1:10" s="91" customFormat="1">
      <c r="A23" s="83" t="s">
        <v>9</v>
      </c>
      <c r="B23" s="141">
        <v>113.12406007446199</v>
      </c>
      <c r="C23" s="142">
        <v>20.185942227355898</v>
      </c>
      <c r="D23" s="142">
        <v>92.938117847106398</v>
      </c>
      <c r="E23" s="143">
        <v>98.358862243410798</v>
      </c>
      <c r="F23" s="142">
        <v>6.8586743285077496</v>
      </c>
      <c r="G23" s="142">
        <v>91.500187914902995</v>
      </c>
      <c r="H23" s="143">
        <v>14.7651978310515</v>
      </c>
      <c r="I23" s="142">
        <v>13.3272678988482</v>
      </c>
      <c r="J23" s="144">
        <v>1.4379299322033701</v>
      </c>
    </row>
    <row r="24" spans="1:10" s="91" customFormat="1">
      <c r="A24" s="83" t="s">
        <v>56</v>
      </c>
      <c r="B24" s="141">
        <v>111.369246699903</v>
      </c>
      <c r="C24" s="142">
        <v>64.409446275214805</v>
      </c>
      <c r="D24" s="142">
        <v>46.959800424687998</v>
      </c>
      <c r="E24" s="143">
        <v>25.939434042491602</v>
      </c>
      <c r="F24" s="142">
        <v>15.9238531678036</v>
      </c>
      <c r="G24" s="142">
        <v>10.015580874688</v>
      </c>
      <c r="H24" s="143">
        <v>85.429812657411205</v>
      </c>
      <c r="I24" s="142">
        <v>48.485593107411198</v>
      </c>
      <c r="J24" s="144">
        <v>36.94421955</v>
      </c>
    </row>
    <row r="25" spans="1:10" s="91" customFormat="1">
      <c r="A25" s="92" t="s">
        <v>17</v>
      </c>
      <c r="B25" s="141">
        <v>99.315509834607397</v>
      </c>
      <c r="C25" s="142">
        <v>55.563861168183003</v>
      </c>
      <c r="D25" s="142">
        <v>43.751648666424302</v>
      </c>
      <c r="E25" s="143">
        <v>26.5066115788687</v>
      </c>
      <c r="F25" s="142">
        <v>13.1818546009769</v>
      </c>
      <c r="G25" s="142">
        <v>13.3247569778918</v>
      </c>
      <c r="H25" s="143">
        <v>72.808898255738697</v>
      </c>
      <c r="I25" s="142">
        <v>42.382006567206098</v>
      </c>
      <c r="J25" s="144">
        <v>30.4268916885325</v>
      </c>
    </row>
    <row r="26" spans="1:10" s="91" customFormat="1">
      <c r="A26" s="83" t="s">
        <v>16</v>
      </c>
      <c r="B26" s="141">
        <v>84.409849906071997</v>
      </c>
      <c r="C26" s="142">
        <v>64.724572206850993</v>
      </c>
      <c r="D26" s="142">
        <v>19.685277699221</v>
      </c>
      <c r="E26" s="143">
        <v>39.6880822345206</v>
      </c>
      <c r="F26" s="142">
        <v>30.102537478912598</v>
      </c>
      <c r="G26" s="142">
        <v>9.5855447556079998</v>
      </c>
      <c r="H26" s="143">
        <v>44.721767671551397</v>
      </c>
      <c r="I26" s="142">
        <v>34.622034727938399</v>
      </c>
      <c r="J26" s="144">
        <v>10.099732943613001</v>
      </c>
    </row>
    <row r="27" spans="1:10" s="91" customFormat="1">
      <c r="A27" s="83" t="s">
        <v>15</v>
      </c>
      <c r="B27" s="141">
        <v>76.233114926865795</v>
      </c>
      <c r="C27" s="142">
        <v>45.059839973394404</v>
      </c>
      <c r="D27" s="142">
        <v>31.173274953471299</v>
      </c>
      <c r="E27" s="143">
        <v>5.0047323929620697</v>
      </c>
      <c r="F27" s="142">
        <v>3.2389999999999999</v>
      </c>
      <c r="G27" s="142">
        <v>1.7657323929620701</v>
      </c>
      <c r="H27" s="143">
        <v>71.228382533903698</v>
      </c>
      <c r="I27" s="142">
        <v>41.820839973394399</v>
      </c>
      <c r="J27" s="144">
        <v>29.407542560509299</v>
      </c>
    </row>
    <row r="28" spans="1:10" s="91" customFormat="1">
      <c r="A28" s="83" t="s">
        <v>57</v>
      </c>
      <c r="B28" s="141">
        <v>68.425856789512693</v>
      </c>
      <c r="C28" s="142">
        <v>47.140255997944102</v>
      </c>
      <c r="D28" s="142">
        <v>21.285600791568701</v>
      </c>
      <c r="E28" s="143">
        <v>36.794013038644003</v>
      </c>
      <c r="F28" s="142">
        <v>18.549143650000001</v>
      </c>
      <c r="G28" s="142">
        <v>18.244869388643998</v>
      </c>
      <c r="H28" s="143">
        <v>31.6318437508688</v>
      </c>
      <c r="I28" s="142">
        <v>28.591112347944101</v>
      </c>
      <c r="J28" s="144">
        <v>3.0407314029246799</v>
      </c>
    </row>
    <row r="29" spans="1:10" s="91" customFormat="1">
      <c r="A29" s="92" t="s">
        <v>58</v>
      </c>
      <c r="B29" s="141">
        <v>61.397166789752497</v>
      </c>
      <c r="C29" s="142">
        <v>13.677796348379101</v>
      </c>
      <c r="D29" s="142">
        <v>47.7193704413734</v>
      </c>
      <c r="E29" s="143">
        <v>12.477982091971001</v>
      </c>
      <c r="F29" s="142">
        <v>10</v>
      </c>
      <c r="G29" s="142">
        <v>2.47798209197102</v>
      </c>
      <c r="H29" s="143">
        <v>48.919184697781397</v>
      </c>
      <c r="I29" s="142">
        <v>3.6777963483790699</v>
      </c>
      <c r="J29" s="144">
        <v>45.241388349402399</v>
      </c>
    </row>
    <row r="30" spans="1:10" s="91" customFormat="1">
      <c r="A30" s="83" t="s">
        <v>12</v>
      </c>
      <c r="B30" s="141">
        <v>59.637971420587803</v>
      </c>
      <c r="C30" s="142">
        <v>44.731467046310598</v>
      </c>
      <c r="D30" s="142">
        <v>14.906504374277199</v>
      </c>
      <c r="E30" s="143">
        <v>8.6862434876354708</v>
      </c>
      <c r="F30" s="142">
        <v>6.5341045625453997</v>
      </c>
      <c r="G30" s="142">
        <v>2.1521389250900702</v>
      </c>
      <c r="H30" s="143">
        <v>50.951727932952302</v>
      </c>
      <c r="I30" s="142">
        <v>38.197362483765197</v>
      </c>
      <c r="J30" s="144">
        <v>12.7543654491871</v>
      </c>
    </row>
    <row r="31" spans="1:10" s="91" customFormat="1">
      <c r="A31" s="83" t="s">
        <v>22</v>
      </c>
      <c r="B31" s="141">
        <v>55.082195621777501</v>
      </c>
      <c r="C31" s="142">
        <v>32.547390180000001</v>
      </c>
      <c r="D31" s="142">
        <v>22.5348054417775</v>
      </c>
      <c r="E31" s="143">
        <v>2.0949651777463298E-2</v>
      </c>
      <c r="F31" s="142">
        <v>1.9681799999999999E-3</v>
      </c>
      <c r="G31" s="142">
        <v>1.8981471777463298E-2</v>
      </c>
      <c r="H31" s="143">
        <v>55.061245970000002</v>
      </c>
      <c r="I31" s="142">
        <v>32.545422000000002</v>
      </c>
      <c r="J31" s="144">
        <v>22.51582397</v>
      </c>
    </row>
    <row r="32" spans="1:10">
      <c r="A32" s="84" t="s">
        <v>21</v>
      </c>
      <c r="B32" s="145">
        <v>744.66801714767496</v>
      </c>
      <c r="C32" s="146">
        <v>507.07859107320007</v>
      </c>
      <c r="D32" s="146">
        <v>237.58942607447443</v>
      </c>
      <c r="E32" s="147">
        <v>292.22574596932674</v>
      </c>
      <c r="F32" s="146">
        <v>206.73097499409963</v>
      </c>
      <c r="G32" s="146">
        <v>85.494770975227013</v>
      </c>
      <c r="H32" s="147">
        <v>452.44227117834754</v>
      </c>
      <c r="I32" s="146">
        <v>300.34761607910031</v>
      </c>
      <c r="J32" s="148">
        <v>152.09465509924738</v>
      </c>
    </row>
    <row r="34" spans="1:10">
      <c r="A34" s="93" t="s">
        <v>74</v>
      </c>
      <c r="B34" s="94"/>
      <c r="D34" s="94"/>
      <c r="H34" s="94"/>
      <c r="J34" s="94"/>
    </row>
    <row r="35" spans="1:10">
      <c r="A35" s="93" t="s">
        <v>75</v>
      </c>
      <c r="B35" s="95"/>
      <c r="D35" s="95"/>
      <c r="H35" s="95"/>
      <c r="J35" s="95"/>
    </row>
    <row r="36" spans="1:10">
      <c r="A36" s="93" t="s">
        <v>76</v>
      </c>
    </row>
  </sheetData>
  <mergeCells count="7">
    <mergeCell ref="B1:J1"/>
    <mergeCell ref="B2:J2"/>
    <mergeCell ref="A4:A6"/>
    <mergeCell ref="B4:D5"/>
    <mergeCell ref="E4:J4"/>
    <mergeCell ref="E5:G5"/>
    <mergeCell ref="H5:J5"/>
  </mergeCells>
  <pageMargins left="0.43307086614173229" right="0.15748031496062992" top="0.39370078740157483" bottom="0.39370078740157483" header="0.15748031496062992" footer="0.15748031496062992"/>
  <pageSetup paperSize="9" scale="94"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6</vt:i4>
      </vt:variant>
    </vt:vector>
  </HeadingPairs>
  <TitlesOfParts>
    <vt:vector size="12" baseType="lpstr">
      <vt:lpstr>1</vt:lpstr>
      <vt:lpstr>1.1</vt:lpstr>
      <vt:lpstr>1.2</vt:lpstr>
      <vt:lpstr>1.3</vt:lpstr>
      <vt:lpstr>1.4</vt:lpstr>
      <vt:lpstr>1.5</vt:lpstr>
      <vt:lpstr>'1'!Область_друку</vt:lpstr>
      <vt:lpstr>'1.1'!Область_друку</vt:lpstr>
      <vt:lpstr>'1.2'!Область_друку</vt:lpstr>
      <vt:lpstr>'1.3'!Область_друку</vt:lpstr>
      <vt:lpstr>'1.4'!Область_друку</vt:lpstr>
      <vt:lpstr>'1.5'!Область_друку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Дзюба Ірина Володимирівна</dc:creator>
  <cp:lastModifiedBy>Горовой Вячеслав Олександрович</cp:lastModifiedBy>
  <cp:lastPrinted>2022-03-21T12:03:38Z</cp:lastPrinted>
  <dcterms:created xsi:type="dcterms:W3CDTF">2015-06-16T15:03:20Z</dcterms:created>
  <dcterms:modified xsi:type="dcterms:W3CDTF">2022-03-21T12:04:00Z</dcterms:modified>
</cp:coreProperties>
</file>